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e.quiroz\Desktop\VARIOS\"/>
    </mc:Choice>
  </mc:AlternateContent>
  <bookViews>
    <workbookView xWindow="0" yWindow="0" windowWidth="20490" windowHeight="7050"/>
  </bookViews>
  <sheets>
    <sheet name="POAI" sheetId="1" r:id="rId1"/>
  </sheets>
  <definedNames>
    <definedName name="_xlnm._FilterDatabase" localSheetId="0" hidden="1">POAI!$A$5:$AH$407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dlBX1119AR+1kvFdrbb5vvVCFkA=="/>
    </ext>
  </extLst>
</workbook>
</file>

<file path=xl/calcChain.xml><?xml version="1.0" encoding="utf-8"?>
<calcChain xmlns="http://schemas.openxmlformats.org/spreadsheetml/2006/main">
  <c r="AD355" i="1" l="1"/>
  <c r="W369" i="1"/>
  <c r="W368" i="1"/>
  <c r="W350" i="1"/>
  <c r="W349" i="1"/>
  <c r="W347" i="1"/>
  <c r="AD402" i="1"/>
  <c r="AD53" i="1"/>
  <c r="W403" i="1"/>
  <c r="T142" i="1"/>
  <c r="T141" i="1"/>
  <c r="T135" i="1"/>
  <c r="AE145" i="1"/>
  <c r="AE143" i="1"/>
  <c r="AE140" i="1"/>
  <c r="AE139" i="1"/>
  <c r="AE138" i="1"/>
  <c r="AE137" i="1"/>
  <c r="AE134" i="1"/>
  <c r="AE132" i="1"/>
  <c r="AE131" i="1"/>
  <c r="AE130" i="1"/>
  <c r="AE129" i="1"/>
  <c r="AE128" i="1"/>
  <c r="AE126" i="1"/>
  <c r="AE124" i="1"/>
  <c r="AE123" i="1"/>
  <c r="AE122" i="1"/>
  <c r="AE121" i="1"/>
  <c r="AE120" i="1"/>
  <c r="AE119" i="1"/>
  <c r="AE118" i="1"/>
  <c r="AE117" i="1"/>
  <c r="AE116" i="1"/>
  <c r="AE115" i="1"/>
  <c r="AE114" i="1"/>
  <c r="AE35" i="1"/>
  <c r="AE34" i="1"/>
  <c r="AE24" i="1"/>
  <c r="AD65" i="1"/>
  <c r="W223" i="1"/>
  <c r="AD345" i="1"/>
  <c r="AD278" i="1"/>
  <c r="W367" i="1"/>
  <c r="W281" i="1"/>
  <c r="W271" i="1"/>
  <c r="W260" i="1"/>
  <c r="W258" i="1"/>
  <c r="W279" i="1"/>
  <c r="W280" i="1"/>
  <c r="W283" i="1"/>
  <c r="W286" i="1"/>
  <c r="W342" i="1"/>
  <c r="W309" i="1"/>
  <c r="W306" i="1"/>
  <c r="W308" i="1"/>
  <c r="W310" i="1"/>
  <c r="W344" i="1"/>
  <c r="W277" i="1"/>
  <c r="W275" i="1"/>
  <c r="W274" i="1"/>
  <c r="W272" i="1"/>
  <c r="W262" i="1"/>
  <c r="W255" i="1"/>
  <c r="W253" i="1"/>
  <c r="W252" i="1"/>
  <c r="W251" i="1"/>
  <c r="W250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AD63" i="1"/>
  <c r="AD58" i="1"/>
  <c r="AD56" i="1"/>
  <c r="AD47" i="1"/>
  <c r="AD16" i="1"/>
  <c r="AD14" i="1"/>
  <c r="AD12" i="1"/>
  <c r="W62" i="1"/>
  <c r="W61" i="1"/>
  <c r="W60" i="1"/>
  <c r="W59" i="1"/>
  <c r="W57" i="1"/>
  <c r="W46" i="1"/>
  <c r="W45" i="1"/>
  <c r="W44" i="1"/>
  <c r="W43" i="1"/>
  <c r="W41" i="1"/>
  <c r="W40" i="1"/>
  <c r="W39" i="1"/>
  <c r="W38" i="1"/>
  <c r="W37" i="1"/>
  <c r="W22" i="1"/>
  <c r="W21" i="1"/>
  <c r="W20" i="1"/>
  <c r="W19" i="1"/>
  <c r="W18" i="1"/>
  <c r="W17" i="1"/>
  <c r="W15" i="1"/>
  <c r="W13" i="1"/>
  <c r="W11" i="1"/>
  <c r="W10" i="1"/>
  <c r="AD341" i="1"/>
  <c r="AD339" i="1"/>
  <c r="AD319" i="1"/>
  <c r="AD314" i="1"/>
  <c r="AD268" i="1"/>
  <c r="AD267" i="1"/>
  <c r="AD266" i="1"/>
  <c r="AD247" i="1"/>
  <c r="AD185" i="1"/>
  <c r="AD184" i="1"/>
  <c r="AD162" i="1"/>
  <c r="AD161" i="1"/>
  <c r="AD112" i="1"/>
  <c r="W340" i="1"/>
  <c r="W330" i="1"/>
  <c r="W318" i="1"/>
  <c r="W317" i="1"/>
  <c r="W316" i="1"/>
  <c r="W315" i="1"/>
  <c r="W313" i="1"/>
  <c r="W312" i="1"/>
  <c r="W305" i="1"/>
  <c r="W304" i="1"/>
  <c r="W302" i="1"/>
  <c r="W301" i="1"/>
  <c r="W298" i="1"/>
  <c r="W297" i="1"/>
  <c r="W296" i="1"/>
  <c r="W295" i="1"/>
  <c r="W294" i="1"/>
  <c r="W293" i="1"/>
  <c r="W292" i="1"/>
  <c r="W291" i="1"/>
  <c r="W249" i="1"/>
  <c r="W248" i="1"/>
  <c r="W211" i="1"/>
  <c r="W210" i="1"/>
  <c r="W113" i="1"/>
  <c r="W111" i="1"/>
  <c r="W362" i="1"/>
  <c r="W361" i="1"/>
  <c r="W360" i="1"/>
  <c r="W359" i="1"/>
  <c r="W357" i="1"/>
  <c r="AD109" i="1"/>
  <c r="AB108" i="1"/>
  <c r="W217" i="1"/>
  <c r="W216" i="1"/>
  <c r="W110" i="1"/>
  <c r="W107" i="1"/>
  <c r="W106" i="1"/>
  <c r="W105" i="1"/>
  <c r="W104" i="1"/>
  <c r="W102" i="1"/>
  <c r="W94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6" i="1"/>
  <c r="W26" i="1"/>
  <c r="R197" i="1"/>
  <c r="AD322" i="1"/>
  <c r="AD320" i="1"/>
  <c r="AD245" i="1"/>
  <c r="AD243" i="1"/>
  <c r="AD201" i="1"/>
  <c r="AD200" i="1"/>
  <c r="AD199" i="1"/>
  <c r="AD198" i="1"/>
  <c r="AD197" i="1"/>
  <c r="AD196" i="1"/>
  <c r="AD190" i="1"/>
  <c r="AD189" i="1"/>
  <c r="AD187" i="1"/>
  <c r="W338" i="1"/>
  <c r="W337" i="1"/>
  <c r="W336" i="1"/>
  <c r="W335" i="1"/>
  <c r="W334" i="1"/>
  <c r="W333" i="1"/>
  <c r="W332" i="1"/>
  <c r="W331" i="1"/>
  <c r="W328" i="1"/>
  <c r="W327" i="1"/>
  <c r="W326" i="1"/>
  <c r="W325" i="1"/>
  <c r="W324" i="1"/>
  <c r="W323" i="1"/>
  <c r="W321" i="1"/>
  <c r="W265" i="1"/>
  <c r="W244" i="1"/>
  <c r="W242" i="1"/>
  <c r="W241" i="1"/>
  <c r="W240" i="1"/>
  <c r="W239" i="1"/>
  <c r="W214" i="1"/>
  <c r="W213" i="1"/>
  <c r="W212" i="1"/>
  <c r="W209" i="1"/>
  <c r="W208" i="1"/>
  <c r="W207" i="1"/>
  <c r="W206" i="1"/>
  <c r="W205" i="1"/>
  <c r="W204" i="1"/>
  <c r="W203" i="1"/>
  <c r="W202" i="1"/>
  <c r="W195" i="1"/>
  <c r="W194" i="1"/>
  <c r="W193" i="1"/>
  <c r="W192" i="1"/>
  <c r="W191" i="1"/>
  <c r="W188" i="1"/>
  <c r="W186" i="1"/>
  <c r="W64" i="1"/>
  <c r="W9" i="1"/>
  <c r="W8" i="1"/>
  <c r="W7" i="1"/>
  <c r="W6" i="1"/>
  <c r="W375" i="1"/>
  <c r="W374" i="1"/>
  <c r="W373" i="1"/>
  <c r="W372" i="1"/>
  <c r="W371" i="1"/>
  <c r="W370" i="1"/>
  <c r="AA158" i="1"/>
  <c r="AA157" i="1"/>
  <c r="AA153" i="1"/>
  <c r="AA151" i="1"/>
  <c r="AA150" i="1"/>
  <c r="W160" i="1"/>
  <c r="W159" i="1"/>
  <c r="W156" i="1"/>
  <c r="W155" i="1"/>
  <c r="W154" i="1"/>
  <c r="W152" i="1"/>
  <c r="W149" i="1"/>
  <c r="W148" i="1"/>
  <c r="W147" i="1"/>
  <c r="Z175" i="1"/>
  <c r="W183" i="1"/>
  <c r="W177" i="1"/>
  <c r="W176" i="1"/>
  <c r="W174" i="1"/>
  <c r="W173" i="1"/>
  <c r="W172" i="1"/>
  <c r="W171" i="1"/>
  <c r="W170" i="1"/>
  <c r="W169" i="1"/>
  <c r="W167" i="1"/>
  <c r="W166" i="1"/>
  <c r="W164" i="1"/>
  <c r="AG405" i="1"/>
  <c r="AE405" i="1"/>
  <c r="AF405" i="1"/>
  <c r="AC405" i="1"/>
  <c r="AD405" i="1"/>
  <c r="Z405" i="1"/>
  <c r="AA405" i="1"/>
  <c r="AB405" i="1"/>
  <c r="Y405" i="1"/>
  <c r="X405" i="1"/>
  <c r="V405" i="1"/>
  <c r="S405" i="1"/>
  <c r="Z178" i="1" l="1"/>
  <c r="W354" i="1"/>
  <c r="W353" i="1"/>
  <c r="W352" i="1"/>
  <c r="W348" i="1"/>
  <c r="R303" i="1" l="1"/>
  <c r="R162" i="1"/>
  <c r="R304" i="1"/>
  <c r="W385" i="1"/>
  <c r="R385" i="1" s="1"/>
  <c r="R367" i="1"/>
  <c r="R278" i="1"/>
  <c r="R44" i="1"/>
  <c r="R65" i="1"/>
  <c r="W72" i="1"/>
  <c r="R72" i="1" s="1"/>
  <c r="R216" i="1"/>
  <c r="R217" i="1"/>
  <c r="R215" i="1"/>
  <c r="R7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5" i="1"/>
  <c r="R46" i="1"/>
  <c r="R47" i="1"/>
  <c r="R48" i="1"/>
  <c r="R49" i="1"/>
  <c r="R50" i="1"/>
  <c r="R51" i="1"/>
  <c r="R52" i="1"/>
  <c r="R54" i="1"/>
  <c r="R55" i="1"/>
  <c r="R56" i="1"/>
  <c r="R57" i="1"/>
  <c r="R58" i="1"/>
  <c r="R59" i="1"/>
  <c r="R60" i="1"/>
  <c r="R61" i="1"/>
  <c r="R62" i="1"/>
  <c r="R63" i="1"/>
  <c r="R64" i="1"/>
  <c r="R66" i="1"/>
  <c r="R67" i="1"/>
  <c r="R68" i="1"/>
  <c r="R69" i="1"/>
  <c r="R70" i="1"/>
  <c r="R71" i="1"/>
  <c r="R73" i="1"/>
  <c r="R74" i="1"/>
  <c r="R75" i="1"/>
  <c r="R76" i="1"/>
  <c r="R77" i="1"/>
  <c r="R78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6" i="1"/>
  <c r="R127" i="1"/>
  <c r="R128" i="1"/>
  <c r="R129" i="1"/>
  <c r="R130" i="1"/>
  <c r="R131" i="1"/>
  <c r="R132" i="1"/>
  <c r="R133" i="1"/>
  <c r="R134" i="1"/>
  <c r="R136" i="1"/>
  <c r="R138" i="1"/>
  <c r="R139" i="1"/>
  <c r="R140" i="1"/>
  <c r="R142" i="1"/>
  <c r="R143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3" i="1"/>
  <c r="R324" i="1"/>
  <c r="R325" i="1"/>
  <c r="R326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6" i="1"/>
  <c r="R322" i="1"/>
  <c r="R327" i="1"/>
  <c r="AB93" i="1"/>
  <c r="R93" i="1" s="1"/>
  <c r="R107" i="1"/>
  <c r="R141" i="1"/>
  <c r="R135" i="1"/>
  <c r="R137" i="1"/>
  <c r="W144" i="1"/>
  <c r="R144" i="1" s="1"/>
  <c r="R53" i="1"/>
  <c r="R405" i="1" l="1"/>
  <c r="R125" i="1"/>
  <c r="W405" i="1" l="1"/>
  <c r="W198" i="1"/>
  <c r="U216" i="1"/>
  <c r="U405" i="1"/>
  <c r="T216" i="1"/>
  <c r="T405" i="1"/>
</calcChain>
</file>

<file path=xl/sharedStrings.xml><?xml version="1.0" encoding="utf-8"?>
<sst xmlns="http://schemas.openxmlformats.org/spreadsheetml/2006/main" count="4429" uniqueCount="692">
  <si>
    <t>#</t>
  </si>
  <si>
    <t xml:space="preserve">LÍNEA ESTRATÉGICA </t>
  </si>
  <si>
    <t>CÓD.</t>
  </si>
  <si>
    <t xml:space="preserve">COMPONENTE </t>
  </si>
  <si>
    <t xml:space="preserve">PROGRAMA </t>
  </si>
  <si>
    <t>NOMBRE DEL PROYECTO</t>
  </si>
  <si>
    <t>CÓD. PROYECTO</t>
  </si>
  <si>
    <t xml:space="preserve">PRODUCTO </t>
  </si>
  <si>
    <t>UNIDAD MEDIDA</t>
  </si>
  <si>
    <t>CALCULO META</t>
  </si>
  <si>
    <t>DEPENDENCIA RESPONSABLE</t>
  </si>
  <si>
    <t>FUENTE DE FINANCIACIÓN</t>
  </si>
  <si>
    <t xml:space="preserve">PROG COF DPTO  </t>
  </si>
  <si>
    <t xml:space="preserve"> PROG COF NACION  </t>
  </si>
  <si>
    <t xml:space="preserve"> PROG CRÉDITO  </t>
  </si>
  <si>
    <t xml:space="preserve"> PROG OTROS </t>
  </si>
  <si>
    <t xml:space="preserve"> PROG RECURSOS PROPIOS </t>
  </si>
  <si>
    <t xml:space="preserve"> PROG SGP ALIM ESCOLAR </t>
  </si>
  <si>
    <t xml:space="preserve"> PROG SGP APSB  </t>
  </si>
  <si>
    <t xml:space="preserve"> PROG SGP CULTURA </t>
  </si>
  <si>
    <t xml:space="preserve"> PROG SGP DEPORTE </t>
  </si>
  <si>
    <t xml:space="preserve"> PROG SGP EDUCACION </t>
  </si>
  <si>
    <t xml:space="preserve"> PROG SGP LIBRE DEST </t>
  </si>
  <si>
    <t xml:space="preserve"> PROG SGP LIBRE INV </t>
  </si>
  <si>
    <t xml:space="preserve"> PROG SGP SALUD </t>
  </si>
  <si>
    <t xml:space="preserve"> PROG SGP PRIMERA INFANCIA</t>
  </si>
  <si>
    <t xml:space="preserve"> PROG REGALÍAS </t>
  </si>
  <si>
    <t>Equidad e inclusión para la transformación social</t>
  </si>
  <si>
    <t>11</t>
  </si>
  <si>
    <t>Política orientada a las mujeres y las niñas.</t>
  </si>
  <si>
    <t>111</t>
  </si>
  <si>
    <t>Mujeres con economía sostenible</t>
  </si>
  <si>
    <t>Fortalecimiento de la economía sostenible de las mujeres del Municipio de Caldas</t>
  </si>
  <si>
    <t>Acciones de generación de ingresos para las mujeres, a través del acceso a instrumentos financieros y/o condiciones de empleabilidad y emprendimiento.</t>
  </si>
  <si>
    <t xml:space="preserve">Número </t>
  </si>
  <si>
    <t xml:space="preserve">Acumulado </t>
  </si>
  <si>
    <t>Secretaría de la Mujer y la Familia</t>
  </si>
  <si>
    <t xml:space="preserve"> RECURSOS PROPIOS </t>
  </si>
  <si>
    <t>Acciones relacionadas con programas de incubación de emprendimientos en líneas temáticas de interés estratégico como TICS, salud, educación e industrias naranjas.</t>
  </si>
  <si>
    <t>Acciones formativas en materia de productividad y emprendimiento como estrategia de generación de ingresos e independencia laboral mediante alianzas estratégicas con entidades del orden nacional y/o recursos de Cooperación Internacional.</t>
  </si>
  <si>
    <t>Acciones de fortalecimiento técnico, académico, administrativo, jurídico y tecnológico a grupos, corporaciones y Organizaciones de mujeres del Municipio de Caldas.</t>
  </si>
  <si>
    <t>112</t>
  </si>
  <si>
    <t>Mujeres con calidad de vida</t>
  </si>
  <si>
    <t>Fortalecimiento de la transversalización de equidad de género para la calidad de vida de las mujeres del municipio de Caldas</t>
  </si>
  <si>
    <t>Implementación de acciones para  la formación de mujeres en la participación ciudadana, política, comunitaria y consolidación de paz</t>
  </si>
  <si>
    <t>La familia, nuestro propósito</t>
  </si>
  <si>
    <t>Porcentaje</t>
  </si>
  <si>
    <t>113</t>
  </si>
  <si>
    <t>Caldas libre de violencia contra la mujer</t>
  </si>
  <si>
    <t>Prevención de las violencias contra las mujeres en el Municipio de Caldas</t>
  </si>
  <si>
    <t xml:space="preserve">Estrategias para la prevención de la violencia contra las mujeres </t>
  </si>
  <si>
    <t>Implementar rutas de atención de género acompañados del sector Justica, Salud, Educación y Protección para garantizar a las mujeres víctimas de violencia el restablecimiento de sus derechos, la reparación al daño causado y las garantías de no repetición</t>
  </si>
  <si>
    <t xml:space="preserve">SGP LIBRE INV </t>
  </si>
  <si>
    <t>Apoyo académico, logístico, tecnológico y operativo a la mesa municipal de erradicación de violencia contra las mujeres.</t>
  </si>
  <si>
    <t xml:space="preserve">Atención y seguimiento de mujeres víctimas de violencias de género </t>
  </si>
  <si>
    <t>114</t>
  </si>
  <si>
    <t xml:space="preserve">Transversalización de la equidad de género como transformación de la cultura </t>
  </si>
  <si>
    <t>Acciones de creación, implementación y sostenimiento del sistema de información municipal para el monitoreo, seguimiento y gestión para producir información con enfoque de género, que conduzca a conocer las realidades de la población femenina de Caldas</t>
  </si>
  <si>
    <t>Acciones para la creación del centro de Promoción Integral para las mujeres y las niñas, como un espacio de acompañamiento psicosocial, empoderamiento social, político, encuentro de saberes, cultura, recreación, deporte y emprendimiento.</t>
  </si>
  <si>
    <t>Formular e implementar el Plan de Igualdad de Oportunidades en el marco de la Política Pública Municipal para la equidad de género, como un instrumento político, técnico y de focalización de inversión para disminuir las inequidades y brechas de género</t>
  </si>
  <si>
    <t xml:space="preserve">No Acumulado </t>
  </si>
  <si>
    <t xml:space="preserve">Acciones para la implementación de la política pública municipal de equidad de genero para las mujeres urbanas y rurales del Municipio de Caldas Antioquia </t>
  </si>
  <si>
    <t xml:space="preserve">Eventos de reconocimiento y conmemoración para la mujer </t>
  </si>
  <si>
    <t>Fortalecimiento de los programas y los procesos de la salud pública y del Plan Decenal de salud en el Municipio de Caldas</t>
  </si>
  <si>
    <t>Campañas de educación en derechos sexuales y reproductivos (planificación familiar, explotación sexual, entre otros) para las mujeres Caldeñas</t>
  </si>
  <si>
    <t>Secretaría de Salud</t>
  </si>
  <si>
    <t>Gestión diferencial de poblaciones vulnerables</t>
  </si>
  <si>
    <t xml:space="preserve">SGP SALUD </t>
  </si>
  <si>
    <t>12</t>
  </si>
  <si>
    <t>Política de Infancia</t>
  </si>
  <si>
    <t>121</t>
  </si>
  <si>
    <t>Atención Integral a la primera infancia</t>
  </si>
  <si>
    <t xml:space="preserve">Fortalecimiento de la Educación Inicial en el marco de la atención integral a la Primera Infancia del Municipio de Caldas                                                                                   </t>
  </si>
  <si>
    <t xml:space="preserve">Acciones para la atención de Niños y niñas entre los 0 y 5 años, integralmente. </t>
  </si>
  <si>
    <t>Secretaría de Educación</t>
  </si>
  <si>
    <t>122</t>
  </si>
  <si>
    <t>Prevención y atención de violencias hacia los niños, niñas y adolescentes</t>
  </si>
  <si>
    <t>Estructuración e implementación del Sistema de Seguimiento al Desarrollo Integral de la Primera Infancia (SSDIPI)</t>
  </si>
  <si>
    <t xml:space="preserve">Porcentaje </t>
  </si>
  <si>
    <t>Acciones para Prevenir y atender las situaciones de violencia intrafamiliar contra niñas, niños y adolescentes, para evitar su vulneración y romper con ciclos de violencia en edades adultas</t>
  </si>
  <si>
    <t xml:space="preserve">Acciones encaminadas a erradicar el trabajo infantil </t>
  </si>
  <si>
    <t xml:space="preserve">Estructurar y crear la Ruta Integral de Atenciones de niñas, niños y adolescentes en condiciones de vulnerabilidad </t>
  </si>
  <si>
    <t>123</t>
  </si>
  <si>
    <t xml:space="preserve">Fortalecimiento institucional para la atención integral de niños y niñas </t>
  </si>
  <si>
    <t xml:space="preserve">Estructuración y ejecución del plan de acción de la política pública de niñez adoptada mediante Acuerdo Municipal Nro. 007 de 2019 </t>
  </si>
  <si>
    <t>Acciones para el fortalecimiento de la mesa de infancia, adolescencia y familia en el Municipio de Caldas</t>
  </si>
  <si>
    <t>Fortalecimiento de la educación inicial en el marco de la atención integral a la primera infancia del municipio de Caldas</t>
  </si>
  <si>
    <t xml:space="preserve">Acciones en beneficio de las Madres gestantes y lactantes atendidas a través de alianzas estratégicas </t>
  </si>
  <si>
    <t>Prevención y fortalecimiento de los derechos de los niños, niñas, adolescentes y familias de municipio de Caldas</t>
  </si>
  <si>
    <t>Implementar acciones conjuntas de educación sexual y bienestar de niños y niñas, desde las diferentes instancias educativas y programas de la administración municipal</t>
  </si>
  <si>
    <t>Secretaría de salud</t>
  </si>
  <si>
    <t>13</t>
  </si>
  <si>
    <t>Política de Juventud</t>
  </si>
  <si>
    <t>131</t>
  </si>
  <si>
    <t>Caldas Joven</t>
  </si>
  <si>
    <t>Fortalecimiento en la intervención integral, participativa e incluyente de la juventud del municipio Caldas</t>
  </si>
  <si>
    <t xml:space="preserve">Estructuración, formulación e implementación del Plan estratégico de desarrollo juvenil </t>
  </si>
  <si>
    <t>Acciones para la Estructuración, conformación  y acompañamiento integral del consejo municipal de Juventud - CMJ</t>
  </si>
  <si>
    <t>Eventos realizados para los jóvenes del Municipio</t>
  </si>
  <si>
    <t>Acciones para la creación del Campus Juvenil para la identificación y reconocimiento de liderazgos positivos, formación en participación, liderazgo, resolución de conflictos, emprendimiento e inclusión laboral y productiva a los jóvenes</t>
  </si>
  <si>
    <t xml:space="preserve">Gestionar alianzas públicas y privadas para servicios complementarios a población estudiantil </t>
  </si>
  <si>
    <t>14</t>
  </si>
  <si>
    <t>Política de Familia.</t>
  </si>
  <si>
    <t>141</t>
  </si>
  <si>
    <t>Acciones para el fortalecimiento a la comisaria de familia  con tecnología, personal idóneo, mejor capacidad instalada y talento humano</t>
  </si>
  <si>
    <t>Fortalecimiento de la familia como nuestro propósito en el municipio de Caldas</t>
  </si>
  <si>
    <t>Estructurar, formular e implementar la Política Pública Municipal de Familias, que reconozca a las familias como sujetos colectivos de derechos, para contribuir a la consolidación de una sociedad justa y equitativa</t>
  </si>
  <si>
    <t>Acciones para fortalecimiento de los lazos familiares  mediante encuentros de pareja, talleres de pautas de crianza humanizada, valores familiares y generación de espacios para compartir en familia</t>
  </si>
  <si>
    <t xml:space="preserve">Acciones de apoyo a Familias beneficiadas con el programa familias en acción </t>
  </si>
  <si>
    <t xml:space="preserve">Acciones de apoyo para formular y ejecutar estrategias para el acompañamiento a familias en la implementación de Unidades productivas y la creación de empresas familiares como reactivación económica y social </t>
  </si>
  <si>
    <t>142</t>
  </si>
  <si>
    <t>Asistencia integral al habitante de calle</t>
  </si>
  <si>
    <t>Acciones para la caracterización e identificación de la población habitante de calle en el Municipio</t>
  </si>
  <si>
    <t>Acciones de atención Integral de Protección Social de la población habitante de calle en el Municipio</t>
  </si>
  <si>
    <t>15</t>
  </si>
  <si>
    <t>Atención a víctimas del conflicto.</t>
  </si>
  <si>
    <t>151</t>
  </si>
  <si>
    <t xml:space="preserve">Fortalecimiento de la atención integral a victimas </t>
  </si>
  <si>
    <t>Asistencia y Atención Integral a Población Víctima del Municipio, para la construcción de paz, reconciliación y convivencia</t>
  </si>
  <si>
    <t>Acciones técnicas, operativas y logísticas para apoyar el Comité de Justicia Transicional</t>
  </si>
  <si>
    <t>Paz, Reconciliación y Convivencia</t>
  </si>
  <si>
    <t>Acciones de atención y reparación de victimas bajo el marco de la Ley 1448 de 2011 donde se reconocen los derechos de las victimas a la reparación integral y donde se garantizaran sus derechos en acciones relacionadas como la prevención, protección, atención y asistencia, indemnización rehabilitación, restitución satisfacción y garantía de no repetición.</t>
  </si>
  <si>
    <t xml:space="preserve">Acciones de apoyo técnico, logístico, tecnológico y operativo a la mesa Municipal  de víctimas dentro de su función de formular propuestas, planes, programas y proyectos para la materialización de los derechos de la población victima </t>
  </si>
  <si>
    <t>16</t>
  </si>
  <si>
    <t>Reconocimiento de la diversidad étnica y cultural del municipio</t>
  </si>
  <si>
    <t>161</t>
  </si>
  <si>
    <t>Atención a grupos étnicos con criterios de equidad</t>
  </si>
  <si>
    <t>Fortalecimiento de la participación ciudadana en el municipio de Caldas</t>
  </si>
  <si>
    <t>Acciones orientadas a fortalecer los programas  de asistencia y atención a los diferentes grupos que garantizan el enfoque de derechos para la atención diferencial de grupos étnicos</t>
  </si>
  <si>
    <t>Acciones para generar oportunidades de estudio y empleabilidad para los grupos étnicos mediante la atención de necesidades en materia de empleo, innovación, emprendimiento y desarrollo humano.</t>
  </si>
  <si>
    <t>17</t>
  </si>
  <si>
    <t>Caldas diverso</t>
  </si>
  <si>
    <t>171</t>
  </si>
  <si>
    <t>Diversidad con equidad</t>
  </si>
  <si>
    <t>Protección de los derechos de la población LGTBI del municipio de Caldas</t>
  </si>
  <si>
    <t>Mesas de participación de las personas LGBTTTIQA implementadas</t>
  </si>
  <si>
    <t xml:space="preserve">Eventos con la población LGBTTTIQA realizados </t>
  </si>
  <si>
    <t>Acciones para generar oportunidades de estudio y empleabilidad para la población LGBTTTIQA mediante la atención de necesidades en materia de empleo, innovación, emprendimiento y desarrollo humano.</t>
  </si>
  <si>
    <t>18</t>
  </si>
  <si>
    <t xml:space="preserve">Población con discapacidad y adulto mayor </t>
  </si>
  <si>
    <t>181</t>
  </si>
  <si>
    <t>Fortalecimiento a la atención de las personas con discapacidad en el Municipio de Caldas</t>
  </si>
  <si>
    <t>Acciones para generar oportunidades de estudio y empleabilidad para la población en situación de discapacidad mediante la atención de necesidades en materia de empleo, innovación, emprendimiento y desarrollo humano.</t>
  </si>
  <si>
    <t>Caldas por el empleo y el emprendimiento sostenible</t>
  </si>
  <si>
    <t>Fortalecimiento a la atención integral del adulto mayor del municipio de Caldas</t>
  </si>
  <si>
    <t xml:space="preserve">Acciones de atención integral de adultos mayores inscritos en los diferentes programas de la Administración Municipal </t>
  </si>
  <si>
    <t xml:space="preserve">Seguimiento trimestral a las acciones de implementación de la política pública de adulto mayor </t>
  </si>
  <si>
    <t>Acciones de promoción de la corresponsabilidad de la familia en el desarrollo de la atención integral a las personas mayores o con discapacidad</t>
  </si>
  <si>
    <t>Generar e implementar una ruta de atención intersectorial para el adulto mayor, con discapacidad, sus familias y cuidadores, con el fin de incluirlos dentro de la oferta programática sectorial</t>
  </si>
  <si>
    <t xml:space="preserve">Acciones de atención integral de personas en situación de discapacidad inscritos en los diferentes programas de la Administración Municipal </t>
  </si>
  <si>
    <t>Caracterización e identificación de la población en situación de discapacidad como estrategia de atención de atención integral.</t>
  </si>
  <si>
    <t>Formulación e implementación del plan estrategico de la política pública de discapacidad mediante acuerdo Municipal 013 del 2019.</t>
  </si>
  <si>
    <t xml:space="preserve">No acumulado </t>
  </si>
  <si>
    <t>19</t>
  </si>
  <si>
    <t>Educación para transformar vidas</t>
  </si>
  <si>
    <t>191</t>
  </si>
  <si>
    <t>Calidad y pertinencia educativa</t>
  </si>
  <si>
    <t>Implementación del Plan de Lectura, Escritura, Oralidad y Bibliotecas: “Caldas Nuestro Cuento"</t>
  </si>
  <si>
    <t>Acciones para la implementación del plan de lectura, escritura, oralidad y fortalecimiento a la extensión cultural de la biblioteca pública</t>
  </si>
  <si>
    <t>Mejoramiento de la Calidad y Pertinencia en la Educación del Municipio de Caldas</t>
  </si>
  <si>
    <t xml:space="preserve">Estudiantes beneficiados con jornada complementaria  </t>
  </si>
  <si>
    <t xml:space="preserve">SGP EDUCACION </t>
  </si>
  <si>
    <t xml:space="preserve">Establecimientos educativos que reciben asesoría y asistencia técnica para la implementación del gobierno escolar  </t>
  </si>
  <si>
    <t>Estrategia de acompañamiento al Tránsito armónico (trayectorias educativas).</t>
  </si>
  <si>
    <t>Ajuste e implementación del Plan educativo Municipal PEM</t>
  </si>
  <si>
    <t>Acciones de mejoramiento de la calidad educativa a través de semilleros, preuniversitarios y preparación de Pruebas SABER</t>
  </si>
  <si>
    <t>Entrega de estímulos para estudiantes destacados en el grado 11</t>
  </si>
  <si>
    <t>Institucionalizar las Olimpiadas Académicas</t>
  </si>
  <si>
    <t>Actualización, adopción e implementación de los Manuales de convivencia en las instituciones educativas públicas</t>
  </si>
  <si>
    <t>192</t>
  </si>
  <si>
    <t xml:space="preserve">Educación para el trabajo y desarrollo humano </t>
  </si>
  <si>
    <t>Fortalecimiento de la Educación Terciaria y/o Superior en el Municipio de Caldas</t>
  </si>
  <si>
    <t>Estudiantes que egresan con doble titulación en alianza con el SENA</t>
  </si>
  <si>
    <t>Crear un fondo para facilitar el acceso a la educación técnica y tecnológica.</t>
  </si>
  <si>
    <t>Alianzas estratégicas para ofertar técnicas en bilingüismo, logística, turismo, emprendimiento, economía naranja, innovación y  TICS bajo el marco de la cuarta revolución industrial, con entidades del orden nacional y/o recursos de Cooperación Internacional</t>
  </si>
  <si>
    <t>193</t>
  </si>
  <si>
    <t>Educación rural e incluyente</t>
  </si>
  <si>
    <t>Implementación de una Educación Rural de Calidad y de Inclusión  en el Municipio de Caldas</t>
  </si>
  <si>
    <t xml:space="preserve">Instituciones educativas  oficiales beneficiadas con la alianza ERA </t>
  </si>
  <si>
    <t xml:space="preserve">Mantenimiento </t>
  </si>
  <si>
    <t xml:space="preserve">Maestros formados en pedagogías activas con la alianza ERA </t>
  </si>
  <si>
    <t xml:space="preserve">Estudiantes beneficiados de la Universidad en el campo con la alianza ERA </t>
  </si>
  <si>
    <t>194</t>
  </si>
  <si>
    <t>Acceso y cobertura educativa</t>
  </si>
  <si>
    <t>Fortalecimiento y Mejoramiento del Acceso, Cobertura y Permanencia Escolar en el Municipio de Caldas</t>
  </si>
  <si>
    <t>Acciones de apoyo Matricula oficial en edad escolar y adultos</t>
  </si>
  <si>
    <t>Estudiantes beneficiados con transporte escolar</t>
  </si>
  <si>
    <t>Acciones para la dotación de instituciones, sedes, centros educativos rurales con material didáctico y TICS.</t>
  </si>
  <si>
    <t>Acciones para el mejoramiento y ampliación a la cobertura municipal en los servicios de bienestar y convivencia estudiantil</t>
  </si>
  <si>
    <t>Acciones para favorecer las diferentes modalidades educativas para la población adulta (sabatino y/o nocturno y/o digital)</t>
  </si>
  <si>
    <t>195</t>
  </si>
  <si>
    <t>Fortaleciendo la docencia</t>
  </si>
  <si>
    <t>Fortalecimiento Curricular y de la Docencia en el Municipio de Caldas</t>
  </si>
  <si>
    <t>Acciones de Apoyo pedagógico al trabajo curricular de las instituciones y centros educativos</t>
  </si>
  <si>
    <t xml:space="preserve">Acciones de apoyo a docentes y directivos docentes en procesos de desarrollo y salud mental, y acciones de estimulo y reconocimiento a la labor docente </t>
  </si>
  <si>
    <t>196</t>
  </si>
  <si>
    <t xml:space="preserve">Fomentado  a la educación superior </t>
  </si>
  <si>
    <t>Acciones para beneficio de estudiantes con becas en programas de educación superior</t>
  </si>
  <si>
    <t>197</t>
  </si>
  <si>
    <t xml:space="preserve">Permanencia Escolar </t>
  </si>
  <si>
    <t>Acciones de apoyo con kits escolares a estudiantes de primaria, media y básica</t>
  </si>
  <si>
    <t>Acciones para fortalecer, ampliar y apoyar la permanencia educativa mediante la intervención de la Unidad de Atención Integral y pedagógica (U.A.I.P).</t>
  </si>
  <si>
    <t>Estructurar una plataforma tecnológica que administre las bases de información y caracterización de la población.</t>
  </si>
  <si>
    <t>Acciones de Construcción y ampliación de la infraestructura física educativa del Municipio de Caldas</t>
  </si>
  <si>
    <t>Secretaría de Infraestructura Física</t>
  </si>
  <si>
    <t>Acciones de Mantenimiento, mejoramiento y modernización a la infraestructura educativa del Municipio de Caldas</t>
  </si>
  <si>
    <t>110</t>
  </si>
  <si>
    <t>Salud y bienestar.</t>
  </si>
  <si>
    <t>1101</t>
  </si>
  <si>
    <t xml:space="preserve">Salud Ambiental </t>
  </si>
  <si>
    <t xml:space="preserve">Realizar visitas de IVC al año a cada establecimiento abierto al público. </t>
  </si>
  <si>
    <t>Realizar campañas con estrategias municipales para mejorar la calidad del aire.</t>
  </si>
  <si>
    <t xml:space="preserve">Realizar visitas de vigilancia y control anuales a cada uno de los  acueductos rurales y urbanos del Municipio. </t>
  </si>
  <si>
    <t>1102</t>
  </si>
  <si>
    <t>Vida saludable y condiciones no transmisibles</t>
  </si>
  <si>
    <t>Desarrollar estrategias de hábitos de vida saludable a poblaciones vulnerables relacionadas con salud oral y prevención de enfermedades crónicas modalidad virtual y presencial</t>
  </si>
  <si>
    <t>1103</t>
  </si>
  <si>
    <t xml:space="preserve">Seguridad Alimentaria y Nutricional </t>
  </si>
  <si>
    <t>Desarrollar estrategias para promover la lactancia materna y hábitos de alimentación saludable</t>
  </si>
  <si>
    <t>1104</t>
  </si>
  <si>
    <t>Derechos sexuales y reproductivos</t>
  </si>
  <si>
    <t>Desarrollar estrategias sobre maternidad segura.</t>
  </si>
  <si>
    <t xml:space="preserve">Implementar estrategia de promoción de derechos y deberes en salud sexual y reproductiva.  </t>
  </si>
  <si>
    <t>1105</t>
  </si>
  <si>
    <t xml:space="preserve">Emergencias y Desastres </t>
  </si>
  <si>
    <t xml:space="preserve">Realizar los planes de eventos de mitigación del riesgo en salud pública que se requieran (Sika, Dengue, Chincunguña, Covid-19). </t>
  </si>
  <si>
    <t>1106</t>
  </si>
  <si>
    <t>Salud y Ámbito Laboral</t>
  </si>
  <si>
    <t xml:space="preserve">Promover estrategia de estilos, modos y condiciones saludables en el entorno laboral en sector formal e informal de la economía. </t>
  </si>
  <si>
    <t>1107</t>
  </si>
  <si>
    <t>Vida Saludable y Enfermedades transmisibles</t>
  </si>
  <si>
    <t xml:space="preserve">Realizar campaña de IEC promocionando la vacunación en la población objeto del programa. </t>
  </si>
  <si>
    <t>Verificar el reporte oportuno de las notificaciones en el SIVIGILA de los eventos de interés en salud publica de las UPGD</t>
  </si>
  <si>
    <t>Realizar búsquedas activas comunitarias para eventos de interés de salud pública</t>
  </si>
  <si>
    <t>Realizar asesorías y asistencias técnicas a las IPS del municipio en búsqueda activa institucional</t>
  </si>
  <si>
    <t>Realizar campaña de entornos  saludables asociados a la prevención de IRA</t>
  </si>
  <si>
    <t>1108</t>
  </si>
  <si>
    <t>Salud Mental</t>
  </si>
  <si>
    <t>Realizar seguimiento e intervención a todos los casos de intento de suicidio ocurridos en el municipio</t>
  </si>
  <si>
    <t>Crear una base de datos de casos de consumo de sustancias psicoactivas</t>
  </si>
  <si>
    <t xml:space="preserve">Seguimiento mensual del reporte al SIVIGILA de casos notificados de violencia intrafamiliar en las instituciones de salud y sociales </t>
  </si>
  <si>
    <t>1109</t>
  </si>
  <si>
    <t xml:space="preserve">Fortalecimiento de la Autoridad Sanitaria </t>
  </si>
  <si>
    <t>Fortalecimiento al funcionamiento de la secretaría de salud del municipio de Caldas</t>
  </si>
  <si>
    <t>Desarrollar estrategias para fortalecer la gestión administrativa y financiera de la Secretaría de Salud</t>
  </si>
  <si>
    <t>Administración de los servicios de aseguramiento en salud en el Municipio de Caldas</t>
  </si>
  <si>
    <t xml:space="preserve">Acciones para garantizar el aseguramiento en salud de la población objetivo </t>
  </si>
  <si>
    <t>Implementación Estrategia de atencion y mejor acceso a los servicios sociales y de salud "Salud mas Cerca" Caldas</t>
  </si>
  <si>
    <t xml:space="preserve">Realizar asesorías y/o asistencias técnicas anuales por cada uno de los proyectos programados a cada institución prestadora de servicios de salud </t>
  </si>
  <si>
    <t>Desarrollar la estrategia de salud más cerca</t>
  </si>
  <si>
    <t>11010</t>
  </si>
  <si>
    <t>Fortalecimiento a la infraestructura de salud</t>
  </si>
  <si>
    <t xml:space="preserve">Acciones para la cofinanciar la construcción del hospital regional del sur del Valle de Aburra </t>
  </si>
  <si>
    <t>Caldas se mueve a través del deporte y la actividad física.</t>
  </si>
  <si>
    <t>1111</t>
  </si>
  <si>
    <t xml:space="preserve">Fomento deportivo </t>
  </si>
  <si>
    <t>Fortalecimiento y fomento deportivo a través del programa “Iniciación y rotación deportiva” en el municipio de Caldas</t>
  </si>
  <si>
    <t>Acciones de apoyo para los embajadores deportistas y para-deportistas que representan a Caldas en diferentes disciplinas deportivas apoyados</t>
  </si>
  <si>
    <t>INDEC</t>
  </si>
  <si>
    <t>Acciones para el fomento deportivo mediante torneos deportivos municipales, Departamentales y/o  Nacionales realizados</t>
  </si>
  <si>
    <t>Acciones de formación,  iniciación y rotación deportiva Implementados en la zona urbana y rural</t>
  </si>
  <si>
    <t xml:space="preserve">SGP DEPORTE </t>
  </si>
  <si>
    <t>1112</t>
  </si>
  <si>
    <t>Fortalecimiento Institucional Deportivo</t>
  </si>
  <si>
    <t>Fortalecimiento operativo y tecnológico del sector deportivo en el municipio de Caldas</t>
  </si>
  <si>
    <t>Acciones de formación, capacitación y formación dirigidas a monitores, técnicos, dirigentes y líderes deportivos  realizadas</t>
  </si>
  <si>
    <t>Fortalecimiento operativo y tecnológico en el sector deportivo</t>
  </si>
  <si>
    <t>1113</t>
  </si>
  <si>
    <t xml:space="preserve">Actividad física y entornos saludables </t>
  </si>
  <si>
    <t>Fortalecimiento de la actividad física y entornos saludables a través del programa “Caldas Activo” en el municipio de Caldas</t>
  </si>
  <si>
    <t>Acciones para la ejecución del Programa Por su salud muévase pues</t>
  </si>
  <si>
    <t>Acciones de Dotación e implementación para entornos saludables realizadas</t>
  </si>
  <si>
    <t>Eventos de actividad física y recreativas realizados</t>
  </si>
  <si>
    <t>Acciones para el fortalecimiento y mejoramiento del centro de acondicionamiento físico</t>
  </si>
  <si>
    <t>Eventos deportivos comunitarios realizados</t>
  </si>
  <si>
    <t>Acciones para la realización de los Juegos Deportivos Escolares e Intercolegiados</t>
  </si>
  <si>
    <t>Acciones para el apoyo a Docentes que participan en los juegos del magisterio</t>
  </si>
  <si>
    <t xml:space="preserve">Actualización, estructuración e implementación del plan decenal de Deporte </t>
  </si>
  <si>
    <t>1114</t>
  </si>
  <si>
    <t xml:space="preserve">Fortalecimiento a la infraestructura deportiva </t>
  </si>
  <si>
    <t>Acciones de Mantenimiento, fortalecimiento y modernización de los escenarios deportivos en el Municipio de Caldas</t>
  </si>
  <si>
    <t xml:space="preserve">Acciones para la Construcción de la infraestructura deportiva y de recreación del Municipio de Caldas </t>
  </si>
  <si>
    <t xml:space="preserve">REGALÍAS </t>
  </si>
  <si>
    <t>Apropiación cultural y artística para la transformación humana y social de Caldas.</t>
  </si>
  <si>
    <t>1121</t>
  </si>
  <si>
    <t>Caldas se expresa artística y culturalmente</t>
  </si>
  <si>
    <t>Fortalecimiento de la expresión artística y cultural del municipio de Caldas</t>
  </si>
  <si>
    <t>Campañas artísticas, ambientales, sociales y culturales que promuevan el desarrollo humano y la participación social y comunitaria.</t>
  </si>
  <si>
    <t>Casa de la Cultura</t>
  </si>
  <si>
    <t xml:space="preserve">SGP CULTURA </t>
  </si>
  <si>
    <t xml:space="preserve">Convenios para el fortalecimiento del sector cultural, realizados </t>
  </si>
  <si>
    <t>Acciones para el fortalecimiento de grupos artísticos y culturales</t>
  </si>
  <si>
    <t>Acciones para generar iniciativas emprendedoras en industrias creativas y/o economía naranja</t>
  </si>
  <si>
    <t>1122</t>
  </si>
  <si>
    <t>Arte y cultura con calidad</t>
  </si>
  <si>
    <t>Consolidación y gestión para la apropiación, defensa y salvaguarda del patrimonio cultural del municipio de Caldas</t>
  </si>
  <si>
    <t xml:space="preserve">Acciones formativas para promotores y gestores culturales </t>
  </si>
  <si>
    <t>Implementación de acciones para ciudadanos que participan en procesos de gestión y formación artística y cultural, y en temas sobre industria creativa y/o economía naranja</t>
  </si>
  <si>
    <t>Desarrollar acciones mediante procesos investigativos en áreas artísticas, culturales, creativas y patrimoniales.</t>
  </si>
  <si>
    <t>Acciones para la actualización y declaración de bienes culturales y patrimoniales del Municipio de Caldas</t>
  </si>
  <si>
    <t>1123</t>
  </si>
  <si>
    <t>Infraestructura y equipamiento cultural</t>
  </si>
  <si>
    <t>Fortalecimiento de la infraestructura y equipamiento artístico y cultural del municipio de caldas Caldas</t>
  </si>
  <si>
    <t>Modernización y dotación de las diferentes áreas artísticas y culturales de la casa de la cultura del Municipio de Caldas</t>
  </si>
  <si>
    <t>Acciones de creación, implementación y sostenimiento de una plataforma tecnológica y sistemas de información integrados a la gestión cultural y artística del Municipio de Caldas.</t>
  </si>
  <si>
    <t>1124</t>
  </si>
  <si>
    <t>Participación ciudadana desde la cultura</t>
  </si>
  <si>
    <t>Fortalecimiento de la participación ciudadana en los procesos, eventos y conmemoraciones artísticas y culturales del municipio de Caldas</t>
  </si>
  <si>
    <t>Actualización e implementación del Plan decenal de cultura como herramienta de gestión y desarrollo cultural.</t>
  </si>
  <si>
    <t>Apoyar técnica, operativa y logísticamente la conformación y operación del consejos Municipal de cultura</t>
  </si>
  <si>
    <t>Eventos tradicionales, típicos  y conmemorativos de orden cultural, comunitario y ambiental ( Juegos recreativos y tradicionales de la calle,  fiestas del aguacero)</t>
  </si>
  <si>
    <t>Intervenciones de preservación de los bienes de interés patrimonial, muebles e inmuebles públicos, realizadas</t>
  </si>
  <si>
    <t xml:space="preserve">Acciones para el mejoramiento y modernización física y tecnológica de la infraestructura Cultural del Municipio </t>
  </si>
  <si>
    <t>Transformación para la productividad y el emprendimiento</t>
  </si>
  <si>
    <t>21</t>
  </si>
  <si>
    <t>Sector agropecuario</t>
  </si>
  <si>
    <t>211</t>
  </si>
  <si>
    <t>Gobernanza del sector agropecuario</t>
  </si>
  <si>
    <t>Fortalecimiento de la productividad, competitividad y sostenibilidad de los sistemas productivos agropecuarios locales, del municipio de Caldas</t>
  </si>
  <si>
    <t xml:space="preserve">Acciones de caracterización  y actualización de productores y organizaciones de productores existentes </t>
  </si>
  <si>
    <t>Competitividad agropecuaria</t>
  </si>
  <si>
    <t>Diagnostico, actualización e implementación de la política pública de Desarrollo Rural Municipal</t>
  </si>
  <si>
    <t>212</t>
  </si>
  <si>
    <t>Fortalecer las Unidades productivas a través del enfoque empresarial, manejo de registros, análisis de la información, comercialización de productos y enfoque asociativo.</t>
  </si>
  <si>
    <t>Acciones para el fortalecimiento de la cadena productiva y comercial del café.</t>
  </si>
  <si>
    <t>213</t>
  </si>
  <si>
    <t>Transferencia de tecnología para el sector agropecuario</t>
  </si>
  <si>
    <t>Acciones de participación de pequeños productores y Unidades productivas en cadenas de transformación agropecuaria</t>
  </si>
  <si>
    <t>Eventos de extensión rural con énfasis en transferencia de tecnologías apropiadas, realizados</t>
  </si>
  <si>
    <t>214</t>
  </si>
  <si>
    <t>Producción sostenible, conservación de los recursos naturales y corredores biológicos</t>
  </si>
  <si>
    <t>Acciones que promuevan la implementación de Buenas Prácticas de Producción, enfoque biosostenible, trasformación agropecuaria y practicas limpias</t>
  </si>
  <si>
    <t xml:space="preserve">Acciones que permitan desarrollar Unidades productivas agropecuarias con enfoque agroecológico y autosostenible en la zona urbana y rural </t>
  </si>
  <si>
    <t>22</t>
  </si>
  <si>
    <t>Emprendimiento e innovación</t>
  </si>
  <si>
    <t>221</t>
  </si>
  <si>
    <t>Estructuración, formulación e implementación del modelo de emprendimiento sostenible del Municipio de Caldas</t>
  </si>
  <si>
    <t>Acciones que promuevan la formación permanente para el empleo y el emprendimiento</t>
  </si>
  <si>
    <t>Acciones para la implementación de estrategia de incubadora de empleo y emprendimiento sostenible mediante alianzas estratégicas con entidades del orden nacional y/o recursos de Cooperación Internacional</t>
  </si>
  <si>
    <t>Acciones para el fortalecimiento tecnológico a la producción, comercialización  y la promoción del empleo para lograr la diversificación y sofisticación de sus bienes y servicios</t>
  </si>
  <si>
    <t xml:space="preserve">Acuerdos de responsabilidad social empresarial realizados </t>
  </si>
  <si>
    <t xml:space="preserve">Acciones  de comunicación y difusión e información en materia de empleo y emprendimiento </t>
  </si>
  <si>
    <t>23</t>
  </si>
  <si>
    <t>Apoyo al sector comercio</t>
  </si>
  <si>
    <t>231</t>
  </si>
  <si>
    <t>Fortalecimiento empresarial y productivo de Caldas</t>
  </si>
  <si>
    <t>Ferias y /o ruedas de negocios realizadas  " Compre en Caldas"</t>
  </si>
  <si>
    <t>Acciones que promuevan el turismo agroambiental para los campesinos que habitan áreas de reserva y zonas de producción agrícola y pecuaria.</t>
  </si>
  <si>
    <t xml:space="preserve">Acciones para promover la formulación de incentivos tributarios para grandes empresas, PYMES e iniciativas de emprendimiento que generen valor y promuevan la generación de nuevos puestos de trabajo. </t>
  </si>
  <si>
    <t xml:space="preserve">Estrategias que promuevan alianzas en beneficio del fortalecimiento comercial y generación del empleo digno </t>
  </si>
  <si>
    <t>232</t>
  </si>
  <si>
    <t>Fortalecimiento a la agencia pública de empleo</t>
  </si>
  <si>
    <t>Diseño de un Modelo de empleabilidad para el municipio de Caldas</t>
  </si>
  <si>
    <t xml:space="preserve">Alianzas estratégicas con la empresa privada y pública para generación de empleo formal </t>
  </si>
  <si>
    <t>Acciones de capacitación y formación laboral realizadas</t>
  </si>
  <si>
    <t xml:space="preserve">Acciones institucionales integrales para la orientación laboral </t>
  </si>
  <si>
    <t>Eventos de empleo realizados</t>
  </si>
  <si>
    <t>Acciones de construcción, adecuación, mejoramiento y modernización de la infraestructura física y tecnológica del Municipio para mejorar áreas destinadas para la comercialización de productos agrícolas y pecuarios.</t>
  </si>
  <si>
    <t>24</t>
  </si>
  <si>
    <t>Seguridad alimentaria</t>
  </si>
  <si>
    <t>241</t>
  </si>
  <si>
    <t>Gobernanza de la seguridad alimentaria y Nutricional</t>
  </si>
  <si>
    <t>Fortalecimiento de la Seguridad Alimentaria y Nutricional en el Municipio de Caldas</t>
  </si>
  <si>
    <t xml:space="preserve">Fortalecimiento de Huertas y eco huertas de familias para el autoconsumo humano tanto en zona urbana como rural </t>
  </si>
  <si>
    <t>Campañas Pedagógicas realizadas en seguridad alimentaria y nutricional</t>
  </si>
  <si>
    <t>Actualizar, formular e implementar la actualización de la Política pública de seguridad alimentaria y nutricional actualizada</t>
  </si>
  <si>
    <t xml:space="preserve">Cupos atendidos en el Programa de Alimentación Escolar (PAE) </t>
  </si>
  <si>
    <t xml:space="preserve">SGP ALIM ESCOLAR </t>
  </si>
  <si>
    <t>Beneficiados con el programa de restaurantes escolares</t>
  </si>
  <si>
    <t>Personas atendidas con los restaurantes comunitarios</t>
  </si>
  <si>
    <t xml:space="preserve">Alianzas para el mejoramiento de la seguridad alimentaria y nutricional </t>
  </si>
  <si>
    <t>Acciones del programa de tamizaje nutricional implementado</t>
  </si>
  <si>
    <t>Paquetes alimentarios entregados a madres comunitarias y madres FAMI</t>
  </si>
  <si>
    <t xml:space="preserve">Acciones de Fortalecimiento físico, técnico, operativo y tecnológico de los programas de seguridad alimentaria y nutricional </t>
  </si>
  <si>
    <t>25</t>
  </si>
  <si>
    <t>Movilidad Sostenible y con Bienestar</t>
  </si>
  <si>
    <t>251</t>
  </si>
  <si>
    <t xml:space="preserve">Movilidad segura, saludable y sostenible </t>
  </si>
  <si>
    <t>Mejoramiento de la movilidad segura, sostenible y saludable en el municipio de Caldas</t>
  </si>
  <si>
    <t xml:space="preserve">Actualización e implementación del Plan de Seguridad Vial </t>
  </si>
  <si>
    <t xml:space="preserve">Comités y Consejos de Seguridad Vial realizados </t>
  </si>
  <si>
    <t>Implementación de los Comités Locales de Seguridad Vial</t>
  </si>
  <si>
    <t>Acciones de fortalecimiento técnico, tecnológico e institucional a la gestión Administrativa y de trámites de la secretaría de Tránsito</t>
  </si>
  <si>
    <t>Estrategias de educación vial realizadas</t>
  </si>
  <si>
    <t xml:space="preserve">Campaña educativas y operativas dirigidas a usuarios vulnerables y expuestos: peatones, ciclistas y motociclistas </t>
  </si>
  <si>
    <t xml:space="preserve">Cátedra de Seguridad Vial diseñada e implementada </t>
  </si>
  <si>
    <t>Controles integrales viales realizados</t>
  </si>
  <si>
    <t xml:space="preserve">Acciones de modernización tecnológica y/o Mantenimiento de equipos y tecnología para mejorar la capacidad operativa de la secretaria de tránsito </t>
  </si>
  <si>
    <t>Acciones de fortalecimiento técnico, operativo, tecnológico e Institucional al  proceso de cobro persuasivo y coactivo de la secretaria de tránsito</t>
  </si>
  <si>
    <t>252</t>
  </si>
  <si>
    <t xml:space="preserve">Transporte Público y zonas de estacionamiento regulado </t>
  </si>
  <si>
    <t>Optimización del transporte público para una movilidad sostenible y segura en el municipio de Caldas Caldas</t>
  </si>
  <si>
    <t xml:space="preserve">Acciones de implementación y control de Transporte Público </t>
  </si>
  <si>
    <t xml:space="preserve">Acciones de modernización y mejoramiento de las zonas estacionamiento regulado </t>
  </si>
  <si>
    <t>26</t>
  </si>
  <si>
    <t>Apoyo y promoción al turismo</t>
  </si>
  <si>
    <t>261</t>
  </si>
  <si>
    <t>Planificación turística territorial</t>
  </si>
  <si>
    <t>Implementación y ejecución del plan turístico territorial de Caldas</t>
  </si>
  <si>
    <t xml:space="preserve">Formular, estructurar e implementar el plan estrategico de turismo </t>
  </si>
  <si>
    <t xml:space="preserve">Conformación de escenarios de participación permanente con actores del sector turístico </t>
  </si>
  <si>
    <t xml:space="preserve">Diagnostico, actualización e implementación  de la política pública de turismo </t>
  </si>
  <si>
    <t>262</t>
  </si>
  <si>
    <t>Caldas destino turístico competitivo y sostenible</t>
  </si>
  <si>
    <t>Instalación de puntos de información turística</t>
  </si>
  <si>
    <t xml:space="preserve">mantenimiento </t>
  </si>
  <si>
    <t>Alianzas realizadas para la formación y comercialización de servicios turísticos locales.</t>
  </si>
  <si>
    <t>Estrategias de fortalecimiento de las TICS en el sector turístico del Municipio desarrolladas</t>
  </si>
  <si>
    <t>Hábitat al servicio de la transformación sostenible del territorio</t>
  </si>
  <si>
    <t>31</t>
  </si>
  <si>
    <t>Hábitat y desarrollo sostenible</t>
  </si>
  <si>
    <t>313</t>
  </si>
  <si>
    <t>Desarrollo urbano y planeación estratégica del hábitat</t>
  </si>
  <si>
    <t>Recuperación y control del espacio público y urbanístico en el municipio de Caldas</t>
  </si>
  <si>
    <t>Realizar acciones de control, regulación, normalización y planificación de la urbanización de zonas con altas presiones urbanísticas y constructivas.</t>
  </si>
  <si>
    <t>312</t>
  </si>
  <si>
    <t xml:space="preserve">Mejoramiento integral del hábitat y entornos saludables </t>
  </si>
  <si>
    <t xml:space="preserve">Acciones para mejorar las condiciones físicas y sociales de vivienda, entornos y asentamientos precarios a través de la implementación de políticas para el mejoramiento de barrios </t>
  </si>
  <si>
    <t>315</t>
  </si>
  <si>
    <t>Movilidad y gestión territorial</t>
  </si>
  <si>
    <t>Estudios de prefactibilidad y factibilidad para la construcción y mejoramiento de la malla vial urbana y rural en armonía con el plan de movilidad vial y los instrumentos de gestión territorial del PBOT del Municipio de Caldas Antioquia.</t>
  </si>
  <si>
    <t>Estudios y diseños para el mejoramiento de la malla vial urbana y rural del Municipio de Caldas.</t>
  </si>
  <si>
    <t xml:space="preserve">Secretaría de Planeación </t>
  </si>
  <si>
    <t xml:space="preserve">Gestionar la titulación y legalización de vivienda en zona urbana y rural del Municipio </t>
  </si>
  <si>
    <t>Revisión del Plan Básico de Ordenamiento Territorial del Municipio de Caldas</t>
  </si>
  <si>
    <t>Acciones para la actualización e implementación  del Plan Básico de ordenamiento territorial del Municipio de Caldas, en su componente de largo plazo de acuerdo con la dinámica, social, económica y ambiental que afronta el Municipio de Caldas, en armonía con las directrices urbanas, ecológicas, ambientales, sociales y económicas del AMVA y CORANTIOQUIA.</t>
  </si>
  <si>
    <t>Formular, estructurar y proyectar estudios técnicos, planes estratégicos y sectoriales para el ordenamiento especifico del territorio y la gestión territorial del suelo en zonas de alto riesgo, zonas de protección, áreas protegidas del SINAP de carácter público regionales y cuencas hidrográficas.</t>
  </si>
  <si>
    <t>Acciones de apoyo técnico, logístico y operativo para el Consejo Territorial de Planeación CTP</t>
  </si>
  <si>
    <t xml:space="preserve">Acciones para generar el desarrollo del suelo de expansión urbana mediante la utilización de los instrumentos de gestión inmobiliaria y del suelo que establece la Ley 388 de 1997 y PBOT </t>
  </si>
  <si>
    <t>314</t>
  </si>
  <si>
    <t xml:space="preserve">Gestión del territorio para el desarrollo sostenible </t>
  </si>
  <si>
    <t>Elaboración de insumos cartográficos y actualización catastral con enfoque multipropósito en el municipio de Caldas</t>
  </si>
  <si>
    <t xml:space="preserve">Acciones para la Actualización, aplicación y Mantenimiento de la base cartográfica y sistema de información geográfica del Municipio de Caldas Antioquia </t>
  </si>
  <si>
    <t>Acciones para Actualizar  la información catastral urbana y rural relacionada con los bienes inmuebles sometidos a permanentes cambios en sus aspectos, físicos, jurídicos, fiscales y económicos.</t>
  </si>
  <si>
    <t>Acciones para Actualizar y modernizar el hardware y software de la Unidad de catastro de la secretaría de planeación del Municipio de Caldas.</t>
  </si>
  <si>
    <t>Acciones para implementar la política de catastro Multipropósito a la que refieren los artículos 79 a 82 de la Ley 1955 de 2019 - Plan Nacional de Desarrollo, y los Decretos 1983 de 2019 y 148 de 2020.</t>
  </si>
  <si>
    <t>Acciones para Desarrollar un sistema de información geográfico para la gestión territorial que permita centralizar las bases de datos del Municipio con integración a la Geodatabase del Municipio logrando la interoperabilidad con catastro, gestión inmobiliaria, infraestructura vial, medio ambiente, gestión fiscal y tributaria, seguridad, programas y proyectos sociales.</t>
  </si>
  <si>
    <t>Acciones para mantener actualizada la base de datos de la estratificación urbana y rural.</t>
  </si>
  <si>
    <t>Estructuración, formulación y aplicación del Plan de movilidad vial del Municipio de Caldas Antioquia, en armonía con Plan Maestro de Movilidad Metropolitana (2007) y Acuerdo Metropolitano No. 42/2007  y los lineamientos del sistema de movilidad del PBOT del Municipio de Caldas Antioquia.</t>
  </si>
  <si>
    <t>32</t>
  </si>
  <si>
    <t>Medio ambiente y sostenibilidad</t>
  </si>
  <si>
    <t>322</t>
  </si>
  <si>
    <t xml:space="preserve">Conservación de Áreas protegidas y ecosistemas estratégicos </t>
  </si>
  <si>
    <t>Implementación de proyectos productivos sostenibles en las áreas protegidas y/o ecosistemas estratégicos</t>
  </si>
  <si>
    <t>321</t>
  </si>
  <si>
    <t xml:space="preserve">Mitigación y adaptación al cambio climático </t>
  </si>
  <si>
    <t xml:space="preserve">Implementación de energías alternativas, energías renovables  y/o energías limpias en los proyectos de infraestructura que adelante el Municipio de Caldas. </t>
  </si>
  <si>
    <t>Acciones para el mejoramiento de los sistemas de alerta y detección temprana de control y calidad del aire en articulación con el AMVA y el SIATA.</t>
  </si>
  <si>
    <t>Formulación Mitigación y adaptación al cambio climático Caldas</t>
  </si>
  <si>
    <t>Acciones de Elaboración e implementación  del Plan Integral de Gestión del Cambio Climático del Municipio de Caldas en armonía con el Plan de Acción para el Cambio y la Variabilidad Climática del Valle de Aburra PAC&amp;VC y el plan regional para el cambio climático en jurisdicción de CORANTIOQUIA.</t>
  </si>
  <si>
    <t>Acciones institucionales para la reducción de emisiones de GEI a partir del uso de otras fuentes energéticas, menos intensivas en el uso de combustibles fósiles o combustibles con menores emisiones en el sector industrial y el sector automotor mediante alianzas estratégicas con entidades del orden nacional y/o recursos de Cooperación Internacional.</t>
  </si>
  <si>
    <t>Conservación protección y restauración de Áreas protegidas y ecosistemas estratégicos en el Municipio de Caldas</t>
  </si>
  <si>
    <t xml:space="preserve">Acciones para la adquisición y protección de áreas en ecosistemas estratégicos </t>
  </si>
  <si>
    <t>Gestionar procesos de reforestación y atención ambiental integral que permita el sostenimiento de áreas de producción de agua, recuperación de zonas degradadas y en estado de deterioro por la acción del hombre o la naturaleza</t>
  </si>
  <si>
    <t>Acciones de Integración e implementación de la Geodatabase del Municipio las áreas protegidas y ecosistemas estratégicos existentes en el Municipio de Caldas en el PBOT y el DMI, PCA y la reserva del alto de San Miguel, que permitan la gestión del territorio.</t>
  </si>
  <si>
    <t xml:space="preserve">Acciones para Estructurar, reglamentar e implementar en las áreas protegidas y/o ecosistemas estratégicos el esquema de pago por servicios ambientales (PSA) y otros incentivos de conservación </t>
  </si>
  <si>
    <t>Acciones de vigilancia, control y Mantenimiento y restauración ecológica en ecosistemas estratégicos y/o áreas protegidas</t>
  </si>
  <si>
    <t>Acciones de importancia ambiental en espacios públicos y equipamientos públicos intervenidos</t>
  </si>
  <si>
    <t>323</t>
  </si>
  <si>
    <t xml:space="preserve">Conservación, ahorro y cuidado del recurso hídrico </t>
  </si>
  <si>
    <t>Conservación , ahorro y cuidado del recurso hídrico en el Municipio de Caldas</t>
  </si>
  <si>
    <t>Acciones para la Adquisición de predios para la recuperación y el cuidado de las áreas de importancia ambiental estratégica para protección del recurso hídrico según lo definido en el artículo 111 de la ley 99 de 1993.</t>
  </si>
  <si>
    <t>Ejecutar acciones de  alinderamiento, vigilancia y control de áreas para la protección de fuentes abastecedoras de acueducto</t>
  </si>
  <si>
    <t>Estructurar, formular y ejecutar proyectos asociados al cuidado de las fuentes abastecedoras de acueductos del Municipio de Caldas y/o aquellas fuentes que estén enmarcados en los POMCAS y en los PORH vigentes en el Municipio de Caldas.</t>
  </si>
  <si>
    <t>Acciones para la Incorporar a la actualización del PBOT los ejes temáticos y determinantes ambientales de los POMCA del rio Aburra y del Río Amaga, el PMAA del valle de aburra y los PORH del Río Aburra, quebrada Sinifana y Rio Amaga como eje estructurante en la gestión y protección del recurso hídrico del Municipio de Caldas.</t>
  </si>
  <si>
    <t>Estructurar, formular y ejecutar proyectos de Mantenimiento, limpieza, cuidado y sostenibilidad de las fuentes hídricas en zona urbana.</t>
  </si>
  <si>
    <t>Actualizar la red hídrica del Municipio de Caldas e incorporarla a la geodatabase del Municipio de Caldas.</t>
  </si>
  <si>
    <t>Formular el Plan de Gestión Ambiental PGAM e incorporarlo a la Geodatabase del Municipio de Caldas.</t>
  </si>
  <si>
    <t>324</t>
  </si>
  <si>
    <t>Educación ambiental, gobernanza de los recursos naturales</t>
  </si>
  <si>
    <t>Fortalecimiento de la educación ambiental y gobernanza de los recursos naturales en el Municipio de Caldas</t>
  </si>
  <si>
    <t>Implementar acciones de educación ambiental en las instituciones del Municipio bajo el marco del Plan de educación Municipal,  y las políticas publicas vigentes en el territorio.</t>
  </si>
  <si>
    <t xml:space="preserve">Acciones para fortalecer la articulación institucional con las mesas ambientales y los colectivos ambientales en el Municipio de Caldas mediante actividades de orden ambiental </t>
  </si>
  <si>
    <t>Acciones para Impulsar la reforestación a través de los Proyectos Ambientales Escolares PRAES, Proyectos Comunitarios de Educación Ambiental PROCEDAS y CIDEAM.</t>
  </si>
  <si>
    <t>Desarrollar campañas educativas para el cambio y la variabilidad climática que promuevan proyectos de ciencia, tecnología e innovación referentes a la acción del cambio climático</t>
  </si>
  <si>
    <t>Realizar actividades de educación ambiental mejoramiento de entornos y sensibilización respecto la separación en la fuente y manejo adecuado de residuos sólidos.</t>
  </si>
  <si>
    <t>33</t>
  </si>
  <si>
    <t xml:space="preserve"> Gestión del riesgo</t>
  </si>
  <si>
    <t>331</t>
  </si>
  <si>
    <t xml:space="preserve">Conocimiento del riesgo </t>
  </si>
  <si>
    <t>Fortalecimiento del Conocimiento y manejo del riesgo en atención de emergencias y/o desastres en el Municipio de Caldas</t>
  </si>
  <si>
    <t>Capacitar a los miembros del comité de gestión del riesgo CMGRD y cuerpos de socorro del Municipio en acciones de conocimiento en la reducción del riesgo, manejo de desastres e implementar procedimientos de integración con los CMGRD metropolitanos y el AMVA en acciones de conocimiento, reducción y atención de desastres.</t>
  </si>
  <si>
    <t>Realizar campañas educativas a la comunidad para la reducción del riesgo y conocimiento de los factores exógenos que los generan</t>
  </si>
  <si>
    <t>333</t>
  </si>
  <si>
    <t>Manejo de desastres</t>
  </si>
  <si>
    <t xml:space="preserve">Acciones para fortalecer técnica, operativa y financieramente al CMGRD y a la Unidad de gestión del riesgo Municipal </t>
  </si>
  <si>
    <t>Dotar de elementos de protección, herramientas y equipos e insumos para la atención de emergencias al CMGRD y la Unidad de gestión del riesgo para mejorar la capacidad de respuesta ante acciones de reducción, mitigación y atención del riesgo.</t>
  </si>
  <si>
    <t xml:space="preserve">Fortalecimiento a los cuerpos de socorro del Municipio de Caldas </t>
  </si>
  <si>
    <t>Acciones para la realización de estudios de alto riesgo específicos para gestión adecuada del territorio.</t>
  </si>
  <si>
    <t>Acciones para la implementación de sistemas de monitoreo y alerta temprana en zonas de alto riesgo por inundación, avenidas torrenciales y movimientos en masa de acuerdo a los lineamientos del PMGRD.</t>
  </si>
  <si>
    <t>332</t>
  </si>
  <si>
    <t xml:space="preserve">Reducción del riesgo </t>
  </si>
  <si>
    <t>Acciones para fortalecer el fondo territorial de gestión del riesgo y definir sus recursos e igualmente diseñar una estrategia de protección financiera en caso de desastres.</t>
  </si>
  <si>
    <t>Acciones para integrar y actualizar la Geodatabase del Municipio la Gestión integral del Riesgo y atención de Desastres obtenidos de la actualización del PBOT, PMGRD y estudios de amenaza y alto riesgo específicos.</t>
  </si>
  <si>
    <t>Acciones de implementarción en el PMGRD las acciones técnicas, operativas y logísticas del PIGECA ( Plan Integral de Gestión de la Calidad del Aire para el Valle de Aburra) y del POECA ( Plan operacional para enfrentar episodios de contaminación atmosférica en el Valle de Aburra) y ejecutarlas como una estrategia de gestión del riesgo.</t>
  </si>
  <si>
    <t>34</t>
  </si>
  <si>
    <t>Servicios públicos</t>
  </si>
  <si>
    <t>341</t>
  </si>
  <si>
    <t xml:space="preserve">Gobernanza del recurso hídrico </t>
  </si>
  <si>
    <t xml:space="preserve">Acciones de apoyo a la ejecución de la etapa 10 del plan maestro de acueducto y alcantarillado en zona urbana </t>
  </si>
  <si>
    <t>Implementar acciones y políticas institucionales enfocadas al ahorro del agua en el Municipio de Caldas</t>
  </si>
  <si>
    <t>342</t>
  </si>
  <si>
    <t xml:space="preserve">Saneamiento básico y recuperación de fuentes hídricas </t>
  </si>
  <si>
    <t>Acciones para aumentar la cobertura del sistema de alcantarillado en zona urbana y rural en el Municipio de Caldas</t>
  </si>
  <si>
    <t>Acciones de saneamiento básico para reducir el Número de vertimientos directos a las fuentes hídricas en zona urbana y rural para garantizar la calidad del agua y los recursos naturales.</t>
  </si>
  <si>
    <t>344</t>
  </si>
  <si>
    <t xml:space="preserve">Gestión integral en la prestación eficiente y eficaz de los servicios públicos domiciliarios </t>
  </si>
  <si>
    <t>Acciones para el fortalecimiento, Mantenimiento y modernización del sistema de alumbrado público en zona urbana y rural del Municipio de Caldas</t>
  </si>
  <si>
    <t>343</t>
  </si>
  <si>
    <t xml:space="preserve">Gestión integral de residuos solidos </t>
  </si>
  <si>
    <t>Fortalecimiento de la Gestión Integral de Residuos Sólidos del Municipio de Caldas</t>
  </si>
  <si>
    <t>Acciones para aumentar la cobertura del servicio de aseo en zona urbana y rural del Municipio de Caldas</t>
  </si>
  <si>
    <t>Acciones de apoyo técnico, logístico y operativo a Grupos organizados y legalmente constituidos con sistemas de aprovechamiento de residuos sólidos en operación</t>
  </si>
  <si>
    <t>Acciones para incrementar el porcentaje de residuos sólidos reciclados</t>
  </si>
  <si>
    <t>Actualización e implementación del  PGIRS Municipal</t>
  </si>
  <si>
    <t>Acciones tendientes a la consolidación, promoción y difusión de la Estrategia Nacional de Economía Circular en el Municipio de Caldas</t>
  </si>
  <si>
    <t>Acciones de apoyo institucional y comunitario para el fortalecimiento técnico, operativo, administrativo, contable y logístico en la prestación eficiente y eficaz de los servicios públicos domiciliarios.</t>
  </si>
  <si>
    <t>35</t>
  </si>
  <si>
    <t>El espacio público en el municipio</t>
  </si>
  <si>
    <t>351</t>
  </si>
  <si>
    <t>Gestión permanente ante entidades del orden nacionales, departamentales y regional el Mantenimiento y mejoramiento la malla vial en jurisdicción del Municipio de Caldas</t>
  </si>
  <si>
    <t>Acciones institucionales para el mejoramiento de la malla vial competencia de instancias del orden Departamental y Nacional.</t>
  </si>
  <si>
    <t>353</t>
  </si>
  <si>
    <t xml:space="preserve">Desarrollo de proyectos urbanos integradores y sostenibles </t>
  </si>
  <si>
    <t>Acciones para construir, mejorar y modernizar circuitos y corredores turísticos urbanos y rurales</t>
  </si>
  <si>
    <t>354</t>
  </si>
  <si>
    <t xml:space="preserve">Gestión de la Infraestructura física y mejoramiento integral de la malla vial urbana y rural </t>
  </si>
  <si>
    <t xml:space="preserve">Equipamientos urbanos, comunitarios y turísticos construidos y mejorados </t>
  </si>
  <si>
    <t xml:space="preserve">Acciones de señalización vial, seguridad vial y equiamiento urbano en Vías urbanas, rurales y caminos veredales </t>
  </si>
  <si>
    <t>Cruces viales urbanos construidos y mejorados de manera integral</t>
  </si>
  <si>
    <t xml:space="preserve">Puntos críticos atendidos en la red vial rural, urbana y caminos veredales </t>
  </si>
  <si>
    <t>36</t>
  </si>
  <si>
    <t>Bienestar animal</t>
  </si>
  <si>
    <t>361</t>
  </si>
  <si>
    <t>362</t>
  </si>
  <si>
    <t xml:space="preserve">Bienestar y protección animal </t>
  </si>
  <si>
    <t>Fortalecimiento del Bienestar y protección de la población animal del municipio de Caldas</t>
  </si>
  <si>
    <t xml:space="preserve">Acciones de esterilización de Caninos y felinos del Municipio de Caldas </t>
  </si>
  <si>
    <t>Acciones para el fortalecimiento técnico, operativo e institucional del Albergue de animales municipal</t>
  </si>
  <si>
    <t>Realizar Campañas para la adopción, tenencia responsable de mascotas, protección al animal, bienestar al animal y seguridad animal</t>
  </si>
  <si>
    <t>Acciones de estimación y caracterización de la población Canina y Felina del Municipio</t>
  </si>
  <si>
    <t>Instalación de microchips en caninos y felinos del municipios de Caldas</t>
  </si>
  <si>
    <t>363</t>
  </si>
  <si>
    <t>Trato digno y tenencia responsable de los animales</t>
  </si>
  <si>
    <t>Acciones para la prevención y protección de fauna y flora en el Municipio de Caldas</t>
  </si>
  <si>
    <t xml:space="preserve">Acciones para apoyar organizaciones y grupos organizados defensores de animales </t>
  </si>
  <si>
    <t xml:space="preserve">Estrategias coordinadas para el fortalecimiento del programa de sustitución de vehículos de tracción animal por otro medio de carga y bienestar del caballo de alquiler </t>
  </si>
  <si>
    <t xml:space="preserve">Estrategias pedagógicas realizadas, que permitan disminuir el uso de la pólvora en beneficio del bienestar animal </t>
  </si>
  <si>
    <t>Gestión integral de la infraestructura física del albergue para el bienestar animal del Municipio de Caldas</t>
  </si>
  <si>
    <t xml:space="preserve">Acciones para ampliar, mejorar y modernizar la infraestructura física y tecnológica del albergue Municipal </t>
  </si>
  <si>
    <t>Gobernanza para la transformación de la esperanza en confianza ciudadana</t>
  </si>
  <si>
    <t>41</t>
  </si>
  <si>
    <t xml:space="preserve">Participación y construcción ciudadana </t>
  </si>
  <si>
    <t>411</t>
  </si>
  <si>
    <t xml:space="preserve">Construcción participativa y democrática de sociedad </t>
  </si>
  <si>
    <t>Acciones formativas de participación ciudadana a organizaciones sociales, comunitarias, deportivas, culturales, ambientales, empresariales y Juntas de Acción Comunal en fortalecimiento institucional en materia presencial o a través de la virtualidad.</t>
  </si>
  <si>
    <t>Apoyar técnica, operativa e institucionalmente encuentros de articulación y comunicación con organizaciones sociales y/o  juntas de acción comunal, e instancias de participación</t>
  </si>
  <si>
    <t>Actualizar la plataforma tecnológica de la administración municipal en matería de atención de trámites virtuales activando un micrositio para la atención de organizaciones comunales y grupos organizados.</t>
  </si>
  <si>
    <t>412</t>
  </si>
  <si>
    <t xml:space="preserve">Derecho de libertad religiosa y de cultos </t>
  </si>
  <si>
    <t>Estructuración, formulación e implementación de la política pública y el plan estratégico de libertad de culto y conciencia formulada y aprobada</t>
  </si>
  <si>
    <t>Acciones con las diferentes comunidades religiosas y cultos en materia de atención social, humanitaria y económica para la atención de la población mas vulnerable</t>
  </si>
  <si>
    <t xml:space="preserve">Acciones para la conformación e implementación del Comité Técnico Intersectorial de Libertad de Creencias en el Municipio de Caldas </t>
  </si>
  <si>
    <t>413</t>
  </si>
  <si>
    <t>Promoción y protección del derecho a la participación democrática</t>
  </si>
  <si>
    <t xml:space="preserve">Apoyar la convites y acciones comunitarias y sociales que mejoren la calidad de vida de los ciudadanos </t>
  </si>
  <si>
    <t xml:space="preserve">Jornadas de descentralización administrativa con oferta de servicios de la administración municipal </t>
  </si>
  <si>
    <t>42</t>
  </si>
  <si>
    <t>Fortalecimiento Institucional</t>
  </si>
  <si>
    <t>421</t>
  </si>
  <si>
    <t xml:space="preserve">Modernización institucional y gestión de conocimiento </t>
  </si>
  <si>
    <t>Acciones de Construcción, adecuación y mejoramiento de la infraestructura física de la administración Municipal y dotación de mobiliario para el adecuado funcionamiento de la Administración municipal</t>
  </si>
  <si>
    <t>Gobierno digital y sistemas de información ciudadana</t>
  </si>
  <si>
    <t xml:space="preserve">Acciones de modernización  y remodelación física y tecnológica de la biblioteca Municipal </t>
  </si>
  <si>
    <t>422</t>
  </si>
  <si>
    <t>Modernización y transformación institucional y gestión de conocimiento en el Municipio de Caldas</t>
  </si>
  <si>
    <t>Acciones de alineamiento entre el Plan de Desarrollo Municipal y el sistema de calidad ISO, bajo un enfoque de gestión por procesos, que involucre la transformación digital como un eje fundamental de eficiencia y productividad.</t>
  </si>
  <si>
    <t>Actualización y fortalecimiento los procesos y procedimiento de la entidad mediante la adecuada implementación del sistema de calidad ISO en armonía con las políticas del MIPG</t>
  </si>
  <si>
    <t>Acciones de Fortalecimiento al Banco de Programas y Proyectos de la Administración Municipal como estrategia para cofinanciar el Plan de Desarrollo ante las diferentes entidades de orden metropolitano, departamental, nacional e internacional</t>
  </si>
  <si>
    <t xml:space="preserve">Acciones de apoyo a las entidades descentralizadas del Municipio de Caldas en la formulación e implementación en los modelos integrados de planeación y gestión. </t>
  </si>
  <si>
    <t>Modernización institucional y gestión de conocimiento en la Administración municipal de Caldas</t>
  </si>
  <si>
    <t>Secretaría de Servicios Administrativos</t>
  </si>
  <si>
    <t xml:space="preserve">Acciones para desarrollar iniciativas de transformación y modernización institucional que fortalezcan las capacidades de gestión administrativa y atención ciudadana </t>
  </si>
  <si>
    <t xml:space="preserve">Gestión de la seguridad, salud en el trabajo y bienestar laboral </t>
  </si>
  <si>
    <t>Mejoramiento de la seguridad, salud en el trabajo y bienestar laboral en el municipio de Caldas</t>
  </si>
  <si>
    <t xml:space="preserve">Personas atendidas en los programas de bienestar laboral </t>
  </si>
  <si>
    <t>Acciones para la Implementación del teletrabajo para los servidores públicos</t>
  </si>
  <si>
    <t>423</t>
  </si>
  <si>
    <t xml:space="preserve">Fortalecimiento y mejoramiento al proceso de gestión documental </t>
  </si>
  <si>
    <t>Elaboración y Actualización de los Instrumentos de Control Archivístico del Municipio de Caldas</t>
  </si>
  <si>
    <t>Acciones de Modernización física y tecnológica del archivo municipal</t>
  </si>
  <si>
    <t>Acciones de mejoramiento al proceso de gestión documental, estableciendo criterios de permanencia y disposición final conforme a la normativa archivística vigente.</t>
  </si>
  <si>
    <t>Acciones de formulación y documentación a los procesos archivísticos encaminados a la planificación, procesamiento, manejo y organización de la documentación producida y recibida por la entidad dese su origen hasta su destino final.</t>
  </si>
  <si>
    <t>43</t>
  </si>
  <si>
    <t xml:space="preserve">Transparencia, rendición de cuentas y legalidad </t>
  </si>
  <si>
    <t>431</t>
  </si>
  <si>
    <t xml:space="preserve">Programa de Gestión, Seguimiento y Monitoreo a la gestión pública </t>
  </si>
  <si>
    <t>Acciones que propendan al mejoramiento de la operatividad de la oficina de control interno, en los términos del artículo 8 de la Ley 1474 de 2011</t>
  </si>
  <si>
    <t xml:space="preserve">Control Interno </t>
  </si>
  <si>
    <t>432</t>
  </si>
  <si>
    <t xml:space="preserve">Eficiencia y eficacia en la gestión presupuestal Municipal </t>
  </si>
  <si>
    <t>Fortalecimiento de las finanzas públicas de la administración municipal de Caldas</t>
  </si>
  <si>
    <t>Acciones para el cumplimiento del indicador de la ley 617 de 2000</t>
  </si>
  <si>
    <t>Secretaria de Hacienda</t>
  </si>
  <si>
    <t xml:space="preserve">Acciones para el Cumplimiento de los indicadores del índice de sostenibilidad y solvencia </t>
  </si>
  <si>
    <t xml:space="preserve">Acciones para el proceso de saneamiento contable </t>
  </si>
  <si>
    <t xml:space="preserve">Acciones de promoción del gasto público orientado a resultados mediante acciones de planeación, eficiencia, eficacia y transparencia. </t>
  </si>
  <si>
    <t>Acciones para el fortalecimiento de atención a las auditorías internas y externas de la entidad</t>
  </si>
  <si>
    <t>Acciones de reducción de los riesgos de corrupción y de gestión, a través de la actualización de la matriz de riesgos y gestión de los controles implementados en el PAAC.</t>
  </si>
  <si>
    <t>Aciones para la formulación, seguimiento y evaluación del plan de desarrollo municipal, planes estratégicos y planes de acción.</t>
  </si>
  <si>
    <t>Acciones para mejorar el índice de desempeño institucional de la administración municipal  durante el cuatrienio</t>
  </si>
  <si>
    <t>433</t>
  </si>
  <si>
    <t xml:space="preserve">Atención oportuna e integral al ciudadano </t>
  </si>
  <si>
    <t>Mejoramiento de la atención integral al ciudadano en el municipio de Caldas</t>
  </si>
  <si>
    <t>Acciones para mejorar el registro de los trámites en el Sistema Único de Información de Trámites - SUIT e integrarlos a la plataforma tecnológica que permita integrar las bases de datos municipales con la Geodatabase.</t>
  </si>
  <si>
    <t xml:space="preserve">Acciones para la Actualización del inventario Municipal </t>
  </si>
  <si>
    <t>Acciones para mejorar el porcentaje de efectividad en la atención de las PQRSD como parte del sistema integrado de gestión.</t>
  </si>
  <si>
    <t>434</t>
  </si>
  <si>
    <t>Implementación de la Política de Gobierno Digital en el municipio de Caldas</t>
  </si>
  <si>
    <t>Acciones para Cofinanciar la modernización tecnológica de la administración municipal y las entidades descentralizadas</t>
  </si>
  <si>
    <t>Actualizar e implementar el plan estratégico de tecnologías de la información PETI</t>
  </si>
  <si>
    <t>Actualizar e implementar el plan estratégico de comunicaciones PEC</t>
  </si>
  <si>
    <t xml:space="preserve">Acciones para la implementación de la estrategia gubernamental de datos abiertos </t>
  </si>
  <si>
    <t xml:space="preserve">Acciones para aumentar y mejorar las herramientas TIC para la interacción con el ciudadano </t>
  </si>
  <si>
    <t>44</t>
  </si>
  <si>
    <t>Justicia y seguridad</t>
  </si>
  <si>
    <t>444</t>
  </si>
  <si>
    <t xml:space="preserve">Capacitación a docentes en estrategias de gestión de aula para la construcción de paz territorial </t>
  </si>
  <si>
    <t>441</t>
  </si>
  <si>
    <t>Gestión de la Seguridad ciudadana, la Convivencia, el Acceso a la Justicia y DDHH</t>
  </si>
  <si>
    <t>Fortalecimiento de la seguridad, la convivencia y el control del delito en el Municipio de Caldas</t>
  </si>
  <si>
    <t>Acciones integrales para la prevención y contención de los delitos que afectan la seguridad pública y la seguridad ciudadana donde se incorporen las diferentes variables de convivencia y seguridad ciudadana.</t>
  </si>
  <si>
    <t>442</t>
  </si>
  <si>
    <t xml:space="preserve">Consejos de Seguridad municipales descentralizados. </t>
  </si>
  <si>
    <t>Acciones de apoyo a los organismos de seguridad y justifica para el cumplimiento de su objeto misional</t>
  </si>
  <si>
    <t>Acciones integrales para prohibir el consumo de estupefacientes en parques públicos, inmediaciones de instituciones educativas, escenarios deportivos e iglesias, para darle cumplimiento a la sentencia C-253 de 2019 de la Corte Constitucional.</t>
  </si>
  <si>
    <t>Acciones para garantizar entornos escolares seguros y libres de la amenaza de expendio y consumo de drogas</t>
  </si>
  <si>
    <t>Acciones de control urbanístico, ambiental y de control en el espacio público en zona urbana y rural.</t>
  </si>
  <si>
    <t>Estructuración, actualización, formulación, implementación y evaluación del Plan Integral de Seguridad y Convivencia Ciudadana territorial (PISCCT).</t>
  </si>
  <si>
    <t xml:space="preserve">Acciones de prevención de niños, niñas, adolescentes y jóvenes en explotación comercial e instrumentalización sexual </t>
  </si>
  <si>
    <t xml:space="preserve">Acciones integrales para la reducción del homicidio en el Municipio </t>
  </si>
  <si>
    <t xml:space="preserve">Acciones de control territorial conjuntas, por cuadrantes como estrategia de prevención del delito </t>
  </si>
  <si>
    <t>Acciones de fortalecimiento a la gestión de las inspecciones de policia y la comisaría de familia del municipio de Caldas</t>
  </si>
  <si>
    <t xml:space="preserve">Acompañamiento a procesos electorales en el Municipio </t>
  </si>
  <si>
    <t>Apoyar técnica, operativa y logísticamente a los operadores de justicia para desarrollar capacidades especializadas para la defensa del agua, la biodiversidad y el medio ambiente</t>
  </si>
  <si>
    <t>Actividades descentralizadas para facilitar el acceso a la justicia y la presencia de las instituciones estatales a la zonas rurales del Municipio</t>
  </si>
  <si>
    <t>Acciones para mitigar y contener el hacinamiento carcelario y la atención de sindicados del municipio de Caldas</t>
  </si>
  <si>
    <t>Prevención, control y sanción del delito y a sus economías ilegales</t>
  </si>
  <si>
    <t xml:space="preserve">Estrategias implementadas para la prevención y contención de las economias ilegales </t>
  </si>
  <si>
    <t>Proyectos y programas de formación y formalización ciudadana en sustituir las economías ilícitas por lícitas y a destruir las finanzas de las organizaciones criminales</t>
  </si>
  <si>
    <t xml:space="preserve">Acciones acompañadas en el marco del plan de prevención y control de las actividades ilícitas que afectan las rentas del Municipio </t>
  </si>
  <si>
    <t>Acompañar técnica, operativa y logísticamente a los operadores de justicia con ocasión de las acciones adelantadas para el control de las actividades que afectan las rentas de la entidad territorial</t>
  </si>
  <si>
    <t xml:space="preserve">Campañas formativas y comunicacionales para la prevención, control y sanción del delito </t>
  </si>
  <si>
    <t>443</t>
  </si>
  <si>
    <t xml:space="preserve">Protección de los derechos humanos y la reconciliación </t>
  </si>
  <si>
    <t>Estrategias comunicacionales y pedagógicas para la difusión reconocimiento, protección, defensa y garantía de los Derechos Humanos diseñadas e implementadas (DDHH)</t>
  </si>
  <si>
    <t>Acciones para la prevención y atención de vulneraciones de Derechos Humanos</t>
  </si>
  <si>
    <t>Estructurar, formular e implementar el plan municipal de Derechos Humanos</t>
  </si>
  <si>
    <t xml:space="preserve">Apoyar acciones interinstitucionales para la atención integral a la población migrante en el Municipio </t>
  </si>
  <si>
    <t xml:space="preserve">Acciones institucionales para el fortalecimiento de los métodos alternativos de solución de conflictos </t>
  </si>
  <si>
    <t xml:space="preserve">Identificar los riesgos de violencia basada en género y adopción de acciones para la garantía del ejercicio de la defensa de los derechos humanos a nivel territorial. </t>
  </si>
  <si>
    <t xml:space="preserve">Acciones institucionales y comunitarias para la construcción de paz, reconciliación y convivencia </t>
  </si>
  <si>
    <t>Acciones de Articulación de espacios académicos, culturales y comunitarios  de discusión para la implementación de los puntos del acuerdo de paz en el Municipio</t>
  </si>
  <si>
    <t>Implementación de un modelo de emprendimiento y comercio sostenible en el municipio de Caldas</t>
  </si>
  <si>
    <t>Construcción y mantenimiento de la Infraestructura física educativa del Municipio Caldas</t>
  </si>
  <si>
    <t>Aprovechamiento apropiación cultural y artística para la transformación humana y social de Caldas</t>
  </si>
  <si>
    <t>Adecuación y fortalecimiento institucional de Caldas</t>
  </si>
  <si>
    <t>Construcción de hábitat y vivienda saludable y sostenible de Caldas</t>
  </si>
  <si>
    <t>Mantenimiento y modernización del sistema de alumbrado público e implementación de energías limpias Caldas</t>
  </si>
  <si>
    <t>Prevención al cambio climático en el municipio de Caldas</t>
  </si>
  <si>
    <t>Construcción saneamiento básico y recuperación de fuentes hídricas Caldas</t>
  </si>
  <si>
    <t>Desarrollo de proyectos urbanos integradores y sostenibles Caldas</t>
  </si>
  <si>
    <t>Construcción y mejoramiento de la red vial del municipio de Caldas</t>
  </si>
  <si>
    <t>Implementación de la política pública para personas habitantes, en condición de calle y en vulnerabilidad del municipio de Caldas</t>
  </si>
  <si>
    <t>G</t>
  </si>
  <si>
    <t>Implementación de un modelo de emprendimiento y comercio sostenible en el municipio de caldas</t>
  </si>
  <si>
    <t>Fortalecimiento a la atención de las personas con discapacidad en el municpio de Caldas</t>
  </si>
  <si>
    <t>Secretaría de Seguridad y Convivencia</t>
  </si>
  <si>
    <t>.</t>
  </si>
  <si>
    <t>TRANSFERENCIAS Y OTROS</t>
  </si>
  <si>
    <t xml:space="preserve">TRANSFERENCIAS Y OTROS </t>
  </si>
  <si>
    <t>SGP LIBRE INV</t>
  </si>
  <si>
    <t>Secretaría de Desarrollo Económico y Social</t>
  </si>
  <si>
    <t>SGP APSB</t>
  </si>
  <si>
    <t>Oficina de comunicaciones y tecnologias de la comunicación</t>
  </si>
  <si>
    <t>Secretaría de Movilidad</t>
  </si>
  <si>
    <t>Empresa de Servicios Públicos</t>
  </si>
  <si>
    <t>PLAN DE DESARROLLO 2020 - 2024 "CALDAS TERRITORIO TRANSFORMADOR"</t>
  </si>
  <si>
    <t>PROYECCION DE POAI 2024</t>
  </si>
  <si>
    <t>META 2024</t>
  </si>
  <si>
    <t>TOTAL PROGRAMADO AÑO 2024</t>
  </si>
  <si>
    <t>PROGRAMACIÓN FINANCIERA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</si>
</sst>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164" formatCode="_-* #,##0_-;\-* #,##0_-;_-* &quot;-&quot;??_-;_-@"/>
    <numFmt numFmtId="165" formatCode="_(&quot;$&quot;\ * #,##0_);_(&quot;$&quot;\ * \(#,##0\);_(&quot;$&quot;\ * &quot;-&quot;??_);_(@_)"/>
    <numFmt numFmtId="166" formatCode="_-&quot;$&quot;\ * #,##0.0_-;\-&quot;$&quot;\ * #,##0.0_-;_-&quot;$&quot;\ * &quot;-&quot;??_-;_-@_-"/>
    <numFmt numFmtId="167" formatCode="_-&quot;$&quot;\ * #,##0_-;\-&quot;$&quot;\ * #,##0_-;_-&quot;$&quot;\ * &quot;-&quot;??_-;_-@_-"/>
  </numFmts>
  <fonts count="5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7984"/>
      </patternFill>
    </fill>
    <fill>
      <patternFill patternType="solid">
        <fgColor theme="4" tint="0.59999389629810485"/>
        <bgColor rgb="FF007984"/>
      </patternFill>
    </fill>
    <fill>
      <patternFill patternType="solid">
        <fgColor theme="0" tint="-4.9989318521683403E-2"/>
        <bgColor rgb="FF00798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7777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166" fontId="1" fillId="0" borderId="2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2"/>
  <sheetViews>
    <sheetView tabSelected="1" topLeftCell="A5" zoomScale="80" zoomScaleNormal="80" workbookViewId="0">
      <pane ySplit="1" topLeftCell="A402" activePane="bottomLeft" state="frozen"/>
      <selection activeCell="I5" sqref="I5"/>
      <selection pane="bottomLeft" activeCell="L373" sqref="L373"/>
    </sheetView>
  </sheetViews>
  <sheetFormatPr baseColWidth="10" defaultColWidth="12.625" defaultRowHeight="15" customHeight="1" x14ac:dyDescent="0.2"/>
  <cols>
    <col min="1" max="1" width="4.5" style="2" customWidth="1"/>
    <col min="2" max="2" width="30.375" style="2" customWidth="1"/>
    <col min="3" max="3" width="5.875" style="2" customWidth="1"/>
    <col min="4" max="4" width="6.25" style="2" customWidth="1"/>
    <col min="5" max="5" width="29.875" style="2" customWidth="1"/>
    <col min="6" max="6" width="8.75" style="2" customWidth="1"/>
    <col min="7" max="7" width="32.625" style="2" customWidth="1"/>
    <col min="8" max="8" width="42.625" style="1" customWidth="1"/>
    <col min="9" max="9" width="18.75" style="2" customWidth="1"/>
    <col min="10" max="10" width="5.875" style="2" customWidth="1"/>
    <col min="11" max="11" width="8.75" style="2" customWidth="1"/>
    <col min="12" max="12" width="56.25" style="2" customWidth="1"/>
    <col min="13" max="13" width="11.625" style="2" customWidth="1"/>
    <col min="14" max="14" width="16.75" style="2" customWidth="1"/>
    <col min="15" max="15" width="27.5" style="2" customWidth="1"/>
    <col min="16" max="16" width="16.5" style="2" customWidth="1"/>
    <col min="17" max="17" width="13.75" style="18" customWidth="1"/>
    <col min="18" max="18" width="16.875" style="2" customWidth="1"/>
    <col min="19" max="19" width="17.875" style="2" customWidth="1"/>
    <col min="20" max="20" width="17.125" style="2" customWidth="1"/>
    <col min="21" max="21" width="19.5" style="2" customWidth="1"/>
    <col min="22" max="22" width="15.75" style="2" customWidth="1"/>
    <col min="23" max="23" width="19.125" style="2" customWidth="1"/>
    <col min="24" max="24" width="16.125" style="2" customWidth="1"/>
    <col min="25" max="25" width="14.75" style="2" customWidth="1"/>
    <col min="26" max="26" width="19.75" style="2" customWidth="1"/>
    <col min="27" max="27" width="18.125" style="2" customWidth="1"/>
    <col min="28" max="28" width="14.25" style="2" customWidth="1"/>
    <col min="29" max="29" width="12.875" style="2" customWidth="1"/>
    <col min="30" max="30" width="18.875" style="2" customWidth="1"/>
    <col min="31" max="31" width="17.25" style="2" customWidth="1"/>
    <col min="32" max="32" width="14" style="2" customWidth="1"/>
    <col min="33" max="33" width="14.625" style="2" customWidth="1"/>
    <col min="34" max="34" width="16.375" style="2" bestFit="1" customWidth="1"/>
    <col min="35" max="16384" width="12.625" style="2"/>
  </cols>
  <sheetData>
    <row r="1" spans="1:34" ht="15" customHeight="1" x14ac:dyDescent="0.2">
      <c r="A1" s="52" t="s">
        <v>687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4"/>
      <c r="AH1" s="2" t="s">
        <v>674</v>
      </c>
    </row>
    <row r="2" spans="1:34" ht="15" customHeight="1" x14ac:dyDescent="0.2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7"/>
    </row>
    <row r="3" spans="1:34" ht="15" customHeight="1" x14ac:dyDescent="0.2">
      <c r="A3" s="50" t="s">
        <v>688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 t="s">
        <v>691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4" ht="1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34" ht="38.25" x14ac:dyDescent="0.2">
      <c r="A5" s="22" t="s">
        <v>0</v>
      </c>
      <c r="B5" s="22" t="s">
        <v>1</v>
      </c>
      <c r="C5" s="22" t="s">
        <v>0</v>
      </c>
      <c r="D5" s="22" t="s">
        <v>2</v>
      </c>
      <c r="E5" s="22" t="s">
        <v>3</v>
      </c>
      <c r="F5" s="23" t="s">
        <v>2</v>
      </c>
      <c r="G5" s="23" t="s">
        <v>4</v>
      </c>
      <c r="H5" s="23" t="s">
        <v>5</v>
      </c>
      <c r="I5" s="23" t="s">
        <v>6</v>
      </c>
      <c r="J5" s="23" t="s">
        <v>0</v>
      </c>
      <c r="K5" s="23" t="s">
        <v>2</v>
      </c>
      <c r="L5" s="23" t="s">
        <v>7</v>
      </c>
      <c r="M5" s="23" t="s">
        <v>8</v>
      </c>
      <c r="N5" s="23" t="s">
        <v>9</v>
      </c>
      <c r="O5" s="23" t="s">
        <v>10</v>
      </c>
      <c r="P5" s="24" t="s">
        <v>11</v>
      </c>
      <c r="Q5" s="25" t="s">
        <v>689</v>
      </c>
      <c r="R5" s="26" t="s">
        <v>690</v>
      </c>
      <c r="S5" s="27" t="s">
        <v>12</v>
      </c>
      <c r="T5" s="27" t="s">
        <v>13</v>
      </c>
      <c r="U5" s="27" t="s">
        <v>14</v>
      </c>
      <c r="V5" s="27" t="s">
        <v>15</v>
      </c>
      <c r="W5" s="27" t="s">
        <v>16</v>
      </c>
      <c r="X5" s="27" t="s">
        <v>17</v>
      </c>
      <c r="Y5" s="27" t="s">
        <v>18</v>
      </c>
      <c r="Z5" s="27" t="s">
        <v>19</v>
      </c>
      <c r="AA5" s="27" t="s">
        <v>20</v>
      </c>
      <c r="AB5" s="27" t="s">
        <v>21</v>
      </c>
      <c r="AC5" s="27" t="s">
        <v>22</v>
      </c>
      <c r="AD5" s="27" t="s">
        <v>23</v>
      </c>
      <c r="AE5" s="27" t="s">
        <v>24</v>
      </c>
      <c r="AF5" s="27" t="s">
        <v>25</v>
      </c>
      <c r="AG5" s="27" t="s">
        <v>26</v>
      </c>
    </row>
    <row r="6" spans="1:34" ht="45" customHeight="1" x14ac:dyDescent="0.2">
      <c r="A6" s="6">
        <v>1</v>
      </c>
      <c r="B6" s="6" t="s">
        <v>27</v>
      </c>
      <c r="C6" s="6">
        <v>1</v>
      </c>
      <c r="D6" s="6" t="s">
        <v>28</v>
      </c>
      <c r="E6" s="6" t="s">
        <v>29</v>
      </c>
      <c r="F6" s="6" t="s">
        <v>30</v>
      </c>
      <c r="G6" s="6" t="s">
        <v>31</v>
      </c>
      <c r="H6" s="6" t="s">
        <v>32</v>
      </c>
      <c r="I6" s="7">
        <v>2020051290021</v>
      </c>
      <c r="J6" s="6">
        <v>1</v>
      </c>
      <c r="K6" s="6">
        <v>1111</v>
      </c>
      <c r="L6" s="6" t="s">
        <v>33</v>
      </c>
      <c r="M6" s="6" t="s">
        <v>34</v>
      </c>
      <c r="N6" s="6" t="s">
        <v>35</v>
      </c>
      <c r="O6" s="6" t="s">
        <v>682</v>
      </c>
      <c r="P6" s="8" t="s">
        <v>37</v>
      </c>
      <c r="Q6" s="13">
        <v>1</v>
      </c>
      <c r="R6" s="21">
        <f>SUM(S6:AG6)</f>
        <v>34853863</v>
      </c>
      <c r="S6" s="21">
        <v>0</v>
      </c>
      <c r="T6" s="21">
        <v>0</v>
      </c>
      <c r="U6" s="21">
        <v>0</v>
      </c>
      <c r="V6" s="21">
        <v>0</v>
      </c>
      <c r="W6" s="21">
        <f>20400000+14453863</f>
        <v>34853863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</row>
    <row r="7" spans="1:34" ht="45" customHeight="1" x14ac:dyDescent="0.2">
      <c r="A7" s="6">
        <v>1</v>
      </c>
      <c r="B7" s="6" t="s">
        <v>27</v>
      </c>
      <c r="C7" s="6">
        <v>1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7">
        <v>2020051290021</v>
      </c>
      <c r="J7" s="6">
        <v>2</v>
      </c>
      <c r="K7" s="6">
        <v>1112</v>
      </c>
      <c r="L7" s="6" t="s">
        <v>38</v>
      </c>
      <c r="M7" s="6" t="s">
        <v>34</v>
      </c>
      <c r="N7" s="6" t="s">
        <v>35</v>
      </c>
      <c r="O7" s="6" t="s">
        <v>682</v>
      </c>
      <c r="P7" s="8" t="s">
        <v>37</v>
      </c>
      <c r="Q7" s="6">
        <v>1</v>
      </c>
      <c r="R7" s="21">
        <f t="shared" ref="R7:R64" si="0">SUM(S7:AG7)</f>
        <v>48707432</v>
      </c>
      <c r="S7" s="21">
        <v>0</v>
      </c>
      <c r="T7" s="20">
        <v>0</v>
      </c>
      <c r="U7" s="20">
        <v>0</v>
      </c>
      <c r="V7" s="20">
        <v>0</v>
      </c>
      <c r="W7" s="20">
        <f>34253569+14453863</f>
        <v>48707432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</row>
    <row r="8" spans="1:34" ht="60" customHeight="1" x14ac:dyDescent="0.2">
      <c r="A8" s="6">
        <v>1</v>
      </c>
      <c r="B8" s="6" t="s">
        <v>27</v>
      </c>
      <c r="C8" s="6">
        <v>1</v>
      </c>
      <c r="D8" s="6" t="s">
        <v>28</v>
      </c>
      <c r="E8" s="6" t="s">
        <v>29</v>
      </c>
      <c r="F8" s="6" t="s">
        <v>30</v>
      </c>
      <c r="G8" s="6" t="s">
        <v>31</v>
      </c>
      <c r="H8" s="6" t="s">
        <v>32</v>
      </c>
      <c r="I8" s="7">
        <v>2020051290021</v>
      </c>
      <c r="J8" s="6">
        <v>3</v>
      </c>
      <c r="K8" s="6">
        <v>1113</v>
      </c>
      <c r="L8" s="6" t="s">
        <v>39</v>
      </c>
      <c r="M8" s="6" t="s">
        <v>34</v>
      </c>
      <c r="N8" s="6" t="s">
        <v>35</v>
      </c>
      <c r="O8" s="6" t="s">
        <v>682</v>
      </c>
      <c r="P8" s="8" t="s">
        <v>37</v>
      </c>
      <c r="Q8" s="6">
        <v>1</v>
      </c>
      <c r="R8" s="21">
        <f t="shared" si="0"/>
        <v>36453863</v>
      </c>
      <c r="S8" s="21">
        <v>0</v>
      </c>
      <c r="T8" s="20">
        <v>0</v>
      </c>
      <c r="U8" s="20">
        <v>0</v>
      </c>
      <c r="V8" s="20">
        <v>0</v>
      </c>
      <c r="W8" s="20">
        <f>22000000+14453863</f>
        <v>36453863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</row>
    <row r="9" spans="1:34" ht="45" customHeight="1" x14ac:dyDescent="0.2">
      <c r="A9" s="6">
        <v>1</v>
      </c>
      <c r="B9" s="6" t="s">
        <v>27</v>
      </c>
      <c r="C9" s="6">
        <v>1</v>
      </c>
      <c r="D9" s="6" t="s">
        <v>28</v>
      </c>
      <c r="E9" s="6" t="s">
        <v>29</v>
      </c>
      <c r="F9" s="6" t="s">
        <v>30</v>
      </c>
      <c r="G9" s="6" t="s">
        <v>31</v>
      </c>
      <c r="H9" s="6" t="s">
        <v>32</v>
      </c>
      <c r="I9" s="7">
        <v>2020051290021</v>
      </c>
      <c r="J9" s="6">
        <v>4</v>
      </c>
      <c r="K9" s="6">
        <v>1114</v>
      </c>
      <c r="L9" s="6" t="s">
        <v>40</v>
      </c>
      <c r="M9" s="6" t="s">
        <v>34</v>
      </c>
      <c r="N9" s="6" t="s">
        <v>35</v>
      </c>
      <c r="O9" s="6" t="s">
        <v>682</v>
      </c>
      <c r="P9" s="8" t="s">
        <v>37</v>
      </c>
      <c r="Q9" s="6">
        <v>1</v>
      </c>
      <c r="R9" s="21">
        <f t="shared" si="0"/>
        <v>43803863</v>
      </c>
      <c r="S9" s="21">
        <v>0</v>
      </c>
      <c r="T9" s="20">
        <v>0</v>
      </c>
      <c r="U9" s="20">
        <v>0</v>
      </c>
      <c r="V9" s="20">
        <v>0</v>
      </c>
      <c r="W9" s="20">
        <f>29350000+14453863</f>
        <v>43803863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</row>
    <row r="10" spans="1:34" ht="45" customHeight="1" x14ac:dyDescent="0.2">
      <c r="A10" s="6">
        <v>1</v>
      </c>
      <c r="B10" s="6" t="s">
        <v>27</v>
      </c>
      <c r="C10" s="6">
        <v>1</v>
      </c>
      <c r="D10" s="6" t="s">
        <v>28</v>
      </c>
      <c r="E10" s="6" t="s">
        <v>29</v>
      </c>
      <c r="F10" s="6" t="s">
        <v>41</v>
      </c>
      <c r="G10" s="6" t="s">
        <v>42</v>
      </c>
      <c r="H10" s="6" t="s">
        <v>43</v>
      </c>
      <c r="I10" s="7">
        <v>2020051290019</v>
      </c>
      <c r="J10" s="6">
        <v>2</v>
      </c>
      <c r="K10" s="6">
        <v>1122</v>
      </c>
      <c r="L10" s="6" t="s">
        <v>44</v>
      </c>
      <c r="M10" s="6" t="s">
        <v>34</v>
      </c>
      <c r="N10" s="6" t="s">
        <v>35</v>
      </c>
      <c r="O10" s="6" t="s">
        <v>36</v>
      </c>
      <c r="P10" s="8" t="s">
        <v>37</v>
      </c>
      <c r="Q10" s="6">
        <v>1</v>
      </c>
      <c r="R10" s="21">
        <f t="shared" si="0"/>
        <v>9606250</v>
      </c>
      <c r="S10" s="21">
        <v>0</v>
      </c>
      <c r="T10" s="20">
        <v>0</v>
      </c>
      <c r="U10" s="20">
        <v>0</v>
      </c>
      <c r="V10" s="20">
        <v>0</v>
      </c>
      <c r="W10" s="20">
        <f>4606250+5000000</f>
        <v>9606250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</row>
    <row r="11" spans="1:34" ht="45" customHeight="1" x14ac:dyDescent="0.2">
      <c r="A11" s="6">
        <v>1</v>
      </c>
      <c r="B11" s="6" t="s">
        <v>27</v>
      </c>
      <c r="C11" s="6">
        <v>1</v>
      </c>
      <c r="D11" s="6" t="s">
        <v>28</v>
      </c>
      <c r="E11" s="6" t="s">
        <v>29</v>
      </c>
      <c r="F11" s="6" t="s">
        <v>47</v>
      </c>
      <c r="G11" s="6" t="s">
        <v>48</v>
      </c>
      <c r="H11" s="6" t="s">
        <v>49</v>
      </c>
      <c r="I11" s="7">
        <v>2020051290020</v>
      </c>
      <c r="J11" s="6">
        <v>1</v>
      </c>
      <c r="K11" s="6">
        <v>1131</v>
      </c>
      <c r="L11" s="6" t="s">
        <v>50</v>
      </c>
      <c r="M11" s="6" t="s">
        <v>34</v>
      </c>
      <c r="N11" s="6" t="s">
        <v>35</v>
      </c>
      <c r="O11" s="6" t="s">
        <v>36</v>
      </c>
      <c r="P11" s="8" t="s">
        <v>37</v>
      </c>
      <c r="Q11" s="6">
        <v>1</v>
      </c>
      <c r="R11" s="21">
        <f t="shared" si="0"/>
        <v>40206250</v>
      </c>
      <c r="S11" s="21">
        <v>0</v>
      </c>
      <c r="T11" s="20">
        <v>0</v>
      </c>
      <c r="U11" s="20">
        <v>0</v>
      </c>
      <c r="V11" s="20">
        <v>0</v>
      </c>
      <c r="W11" s="20">
        <f>4606250+35600000</f>
        <v>40206250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</row>
    <row r="12" spans="1:34" ht="55.5" customHeight="1" x14ac:dyDescent="0.2">
      <c r="A12" s="6">
        <v>1</v>
      </c>
      <c r="B12" s="6" t="s">
        <v>27</v>
      </c>
      <c r="C12" s="6">
        <v>1</v>
      </c>
      <c r="D12" s="6" t="s">
        <v>28</v>
      </c>
      <c r="E12" s="6" t="s">
        <v>29</v>
      </c>
      <c r="F12" s="6" t="s">
        <v>47</v>
      </c>
      <c r="G12" s="6" t="s">
        <v>48</v>
      </c>
      <c r="H12" s="6" t="s">
        <v>49</v>
      </c>
      <c r="I12" s="7">
        <v>2020051290020</v>
      </c>
      <c r="J12" s="6">
        <v>2</v>
      </c>
      <c r="K12" s="6">
        <v>1132</v>
      </c>
      <c r="L12" s="6" t="s">
        <v>51</v>
      </c>
      <c r="M12" s="6" t="s">
        <v>34</v>
      </c>
      <c r="N12" s="9" t="s">
        <v>35</v>
      </c>
      <c r="O12" s="6" t="s">
        <v>36</v>
      </c>
      <c r="P12" s="6" t="s">
        <v>52</v>
      </c>
      <c r="Q12" s="6">
        <v>1</v>
      </c>
      <c r="R12" s="21">
        <f t="shared" si="0"/>
        <v>23148498</v>
      </c>
      <c r="S12" s="21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8">
        <f>25208926-2060428</f>
        <v>23148498</v>
      </c>
      <c r="AE12" s="20">
        <v>0</v>
      </c>
      <c r="AF12" s="20">
        <v>0</v>
      </c>
      <c r="AG12" s="20">
        <v>0</v>
      </c>
    </row>
    <row r="13" spans="1:34" ht="54.75" customHeight="1" x14ac:dyDescent="0.2">
      <c r="A13" s="6">
        <v>1</v>
      </c>
      <c r="B13" s="6" t="s">
        <v>27</v>
      </c>
      <c r="C13" s="6">
        <v>1</v>
      </c>
      <c r="D13" s="6" t="s">
        <v>28</v>
      </c>
      <c r="E13" s="6" t="s">
        <v>29</v>
      </c>
      <c r="F13" s="6" t="s">
        <v>47</v>
      </c>
      <c r="G13" s="6" t="s">
        <v>48</v>
      </c>
      <c r="H13" s="6" t="s">
        <v>49</v>
      </c>
      <c r="I13" s="7">
        <v>2020051290020</v>
      </c>
      <c r="J13" s="6">
        <v>2</v>
      </c>
      <c r="K13" s="6">
        <v>1132</v>
      </c>
      <c r="L13" s="6" t="s">
        <v>51</v>
      </c>
      <c r="M13" s="6" t="s">
        <v>34</v>
      </c>
      <c r="N13" s="9" t="s">
        <v>35</v>
      </c>
      <c r="O13" s="6" t="s">
        <v>36</v>
      </c>
      <c r="P13" s="6" t="s">
        <v>37</v>
      </c>
      <c r="Q13" s="6">
        <v>1</v>
      </c>
      <c r="R13" s="21">
        <f t="shared" si="0"/>
        <v>19863364</v>
      </c>
      <c r="S13" s="21">
        <v>0</v>
      </c>
      <c r="T13" s="20">
        <v>0</v>
      </c>
      <c r="U13" s="20">
        <v>0</v>
      </c>
      <c r="V13" s="20">
        <v>0</v>
      </c>
      <c r="W13" s="8">
        <f>4606250+15257114</f>
        <v>19863364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</row>
    <row r="14" spans="1:34" ht="60" customHeight="1" x14ac:dyDescent="0.2">
      <c r="A14" s="6">
        <v>1</v>
      </c>
      <c r="B14" s="6" t="s">
        <v>27</v>
      </c>
      <c r="C14" s="6">
        <v>1</v>
      </c>
      <c r="D14" s="6" t="s">
        <v>28</v>
      </c>
      <c r="E14" s="6" t="s">
        <v>29</v>
      </c>
      <c r="F14" s="6" t="s">
        <v>47</v>
      </c>
      <c r="G14" s="6" t="s">
        <v>48</v>
      </c>
      <c r="H14" s="6" t="s">
        <v>49</v>
      </c>
      <c r="I14" s="7">
        <v>2020051290020</v>
      </c>
      <c r="J14" s="6">
        <v>3</v>
      </c>
      <c r="K14" s="6">
        <v>1133</v>
      </c>
      <c r="L14" s="6" t="s">
        <v>53</v>
      </c>
      <c r="M14" s="6" t="s">
        <v>34</v>
      </c>
      <c r="N14" s="9" t="s">
        <v>35</v>
      </c>
      <c r="O14" s="6" t="s">
        <v>36</v>
      </c>
      <c r="P14" s="6" t="s">
        <v>52</v>
      </c>
      <c r="Q14" s="6">
        <v>1</v>
      </c>
      <c r="R14" s="21">
        <f t="shared" si="0"/>
        <v>1939572</v>
      </c>
      <c r="S14" s="21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8">
        <f>4000000-2060428</f>
        <v>1939572</v>
      </c>
      <c r="AE14" s="20">
        <v>0</v>
      </c>
      <c r="AF14" s="20">
        <v>0</v>
      </c>
      <c r="AG14" s="20">
        <v>0</v>
      </c>
    </row>
    <row r="15" spans="1:34" ht="60" customHeight="1" x14ac:dyDescent="0.2">
      <c r="A15" s="6">
        <v>1</v>
      </c>
      <c r="B15" s="6" t="s">
        <v>27</v>
      </c>
      <c r="C15" s="6">
        <v>1</v>
      </c>
      <c r="D15" s="6" t="s">
        <v>28</v>
      </c>
      <c r="E15" s="6" t="s">
        <v>29</v>
      </c>
      <c r="F15" s="6" t="s">
        <v>47</v>
      </c>
      <c r="G15" s="6" t="s">
        <v>48</v>
      </c>
      <c r="H15" s="6" t="s">
        <v>49</v>
      </c>
      <c r="I15" s="7">
        <v>2020051290020</v>
      </c>
      <c r="J15" s="6">
        <v>3</v>
      </c>
      <c r="K15" s="6">
        <v>1133</v>
      </c>
      <c r="L15" s="6" t="s">
        <v>53</v>
      </c>
      <c r="M15" s="6" t="s">
        <v>34</v>
      </c>
      <c r="N15" s="9" t="s">
        <v>35</v>
      </c>
      <c r="O15" s="6" t="s">
        <v>36</v>
      </c>
      <c r="P15" s="6" t="s">
        <v>37</v>
      </c>
      <c r="Q15" s="6">
        <v>1</v>
      </c>
      <c r="R15" s="21">
        <f t="shared" si="0"/>
        <v>14606250</v>
      </c>
      <c r="S15" s="21">
        <v>0</v>
      </c>
      <c r="T15" s="20">
        <v>0</v>
      </c>
      <c r="U15" s="20">
        <v>0</v>
      </c>
      <c r="V15" s="20">
        <v>0</v>
      </c>
      <c r="W15" s="8">
        <f>4606250+10000000</f>
        <v>14606250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</row>
    <row r="16" spans="1:34" ht="30" customHeight="1" x14ac:dyDescent="0.2">
      <c r="A16" s="6">
        <v>1</v>
      </c>
      <c r="B16" s="6" t="s">
        <v>27</v>
      </c>
      <c r="C16" s="6">
        <v>1</v>
      </c>
      <c r="D16" s="6" t="s">
        <v>28</v>
      </c>
      <c r="E16" s="6" t="s">
        <v>29</v>
      </c>
      <c r="F16" s="6" t="s">
        <v>47</v>
      </c>
      <c r="G16" s="6" t="s">
        <v>48</v>
      </c>
      <c r="H16" s="6" t="s">
        <v>49</v>
      </c>
      <c r="I16" s="7">
        <v>2020051290020</v>
      </c>
      <c r="J16" s="6">
        <v>4</v>
      </c>
      <c r="K16" s="6">
        <v>1134</v>
      </c>
      <c r="L16" s="6" t="s">
        <v>54</v>
      </c>
      <c r="M16" s="6" t="s">
        <v>34</v>
      </c>
      <c r="N16" s="9" t="s">
        <v>35</v>
      </c>
      <c r="O16" s="6" t="s">
        <v>36</v>
      </c>
      <c r="P16" s="6" t="s">
        <v>52</v>
      </c>
      <c r="Q16" s="6">
        <v>55</v>
      </c>
      <c r="R16" s="21">
        <f t="shared" si="0"/>
        <v>2595603</v>
      </c>
      <c r="S16" s="21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8">
        <f>4656031-2060428</f>
        <v>2595603</v>
      </c>
      <c r="AE16" s="20">
        <v>0</v>
      </c>
      <c r="AF16" s="20">
        <v>0</v>
      </c>
      <c r="AG16" s="20">
        <v>0</v>
      </c>
    </row>
    <row r="17" spans="1:33" ht="30" customHeight="1" x14ac:dyDescent="0.2">
      <c r="A17" s="6">
        <v>1</v>
      </c>
      <c r="B17" s="6" t="s">
        <v>27</v>
      </c>
      <c r="C17" s="6">
        <v>1</v>
      </c>
      <c r="D17" s="6" t="s">
        <v>28</v>
      </c>
      <c r="E17" s="6" t="s">
        <v>29</v>
      </c>
      <c r="F17" s="6" t="s">
        <v>47</v>
      </c>
      <c r="G17" s="6" t="s">
        <v>48</v>
      </c>
      <c r="H17" s="6" t="s">
        <v>49</v>
      </c>
      <c r="I17" s="7">
        <v>2020051290020</v>
      </c>
      <c r="J17" s="6">
        <v>4</v>
      </c>
      <c r="K17" s="6">
        <v>1134</v>
      </c>
      <c r="L17" s="6" t="s">
        <v>54</v>
      </c>
      <c r="M17" s="6" t="s">
        <v>34</v>
      </c>
      <c r="N17" s="9" t="s">
        <v>35</v>
      </c>
      <c r="O17" s="6" t="s">
        <v>36</v>
      </c>
      <c r="P17" s="6" t="s">
        <v>37</v>
      </c>
      <c r="Q17" s="6">
        <v>55</v>
      </c>
      <c r="R17" s="21">
        <f t="shared" si="0"/>
        <v>10611375</v>
      </c>
      <c r="S17" s="21">
        <v>0</v>
      </c>
      <c r="T17" s="20">
        <v>0</v>
      </c>
      <c r="U17" s="20">
        <v>0</v>
      </c>
      <c r="V17" s="20">
        <v>0</v>
      </c>
      <c r="W17" s="8">
        <f>4606250+6005125</f>
        <v>10611375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</row>
    <row r="18" spans="1:33" ht="57.75" customHeight="1" x14ac:dyDescent="0.2">
      <c r="A18" s="6">
        <v>1</v>
      </c>
      <c r="B18" s="6" t="s">
        <v>27</v>
      </c>
      <c r="C18" s="6">
        <v>1</v>
      </c>
      <c r="D18" s="6" t="s">
        <v>28</v>
      </c>
      <c r="E18" s="6" t="s">
        <v>29</v>
      </c>
      <c r="F18" s="6" t="s">
        <v>55</v>
      </c>
      <c r="G18" s="6" t="s">
        <v>56</v>
      </c>
      <c r="H18" s="6" t="s">
        <v>43</v>
      </c>
      <c r="I18" s="7">
        <v>2020051290019</v>
      </c>
      <c r="J18" s="6">
        <v>1</v>
      </c>
      <c r="K18" s="6">
        <v>1141</v>
      </c>
      <c r="L18" s="6" t="s">
        <v>57</v>
      </c>
      <c r="M18" s="6" t="s">
        <v>34</v>
      </c>
      <c r="N18" s="9" t="s">
        <v>35</v>
      </c>
      <c r="O18" s="6" t="s">
        <v>36</v>
      </c>
      <c r="P18" s="6" t="s">
        <v>37</v>
      </c>
      <c r="Q18" s="6">
        <v>1</v>
      </c>
      <c r="R18" s="21">
        <f t="shared" si="0"/>
        <v>9606250</v>
      </c>
      <c r="S18" s="21">
        <v>0</v>
      </c>
      <c r="T18" s="20">
        <v>0</v>
      </c>
      <c r="U18" s="20">
        <v>0</v>
      </c>
      <c r="V18" s="20">
        <v>0</v>
      </c>
      <c r="W18" s="20">
        <f>4606250+5000000</f>
        <v>9606250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</row>
    <row r="19" spans="1:33" ht="61.5" customHeight="1" x14ac:dyDescent="0.2">
      <c r="A19" s="6">
        <v>1</v>
      </c>
      <c r="B19" s="6" t="s">
        <v>27</v>
      </c>
      <c r="C19" s="6">
        <v>1</v>
      </c>
      <c r="D19" s="6" t="s">
        <v>28</v>
      </c>
      <c r="E19" s="6" t="s">
        <v>29</v>
      </c>
      <c r="F19" s="6" t="s">
        <v>55</v>
      </c>
      <c r="G19" s="6" t="s">
        <v>56</v>
      </c>
      <c r="H19" s="6" t="s">
        <v>43</v>
      </c>
      <c r="I19" s="7">
        <v>2020051290019</v>
      </c>
      <c r="J19" s="6">
        <v>2</v>
      </c>
      <c r="K19" s="6">
        <v>1142</v>
      </c>
      <c r="L19" s="6" t="s">
        <v>58</v>
      </c>
      <c r="M19" s="6" t="s">
        <v>34</v>
      </c>
      <c r="N19" s="9" t="s">
        <v>35</v>
      </c>
      <c r="O19" s="6" t="s">
        <v>36</v>
      </c>
      <c r="P19" s="6" t="s">
        <v>37</v>
      </c>
      <c r="Q19" s="6">
        <v>1</v>
      </c>
      <c r="R19" s="21">
        <f t="shared" si="0"/>
        <v>27838140</v>
      </c>
      <c r="S19" s="21">
        <v>0</v>
      </c>
      <c r="T19" s="20">
        <v>0</v>
      </c>
      <c r="U19" s="20">
        <v>0</v>
      </c>
      <c r="V19" s="20">
        <v>0</v>
      </c>
      <c r="W19" s="20">
        <f>4606250+23231890</f>
        <v>27838140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</row>
    <row r="20" spans="1:33" ht="60" customHeight="1" x14ac:dyDescent="0.2">
      <c r="A20" s="6">
        <v>1</v>
      </c>
      <c r="B20" s="6" t="s">
        <v>27</v>
      </c>
      <c r="C20" s="6">
        <v>1</v>
      </c>
      <c r="D20" s="6" t="s">
        <v>28</v>
      </c>
      <c r="E20" s="6" t="s">
        <v>29</v>
      </c>
      <c r="F20" s="6" t="s">
        <v>55</v>
      </c>
      <c r="G20" s="6" t="s">
        <v>56</v>
      </c>
      <c r="H20" s="6" t="s">
        <v>43</v>
      </c>
      <c r="I20" s="7">
        <v>2020051290019</v>
      </c>
      <c r="J20" s="6">
        <v>3</v>
      </c>
      <c r="K20" s="6">
        <v>1143</v>
      </c>
      <c r="L20" s="6" t="s">
        <v>59</v>
      </c>
      <c r="M20" s="6" t="s">
        <v>46</v>
      </c>
      <c r="N20" s="9" t="s">
        <v>60</v>
      </c>
      <c r="O20" s="6" t="s">
        <v>36</v>
      </c>
      <c r="P20" s="6" t="s">
        <v>37</v>
      </c>
      <c r="Q20" s="9">
        <v>1</v>
      </c>
      <c r="R20" s="21">
        <f t="shared" si="0"/>
        <v>34606250</v>
      </c>
      <c r="S20" s="21">
        <v>0</v>
      </c>
      <c r="T20" s="20">
        <v>0</v>
      </c>
      <c r="U20" s="20">
        <v>0</v>
      </c>
      <c r="V20" s="20">
        <v>0</v>
      </c>
      <c r="W20" s="20">
        <f>4606250+30000000</f>
        <v>34606250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</row>
    <row r="21" spans="1:33" ht="60" customHeight="1" x14ac:dyDescent="0.2">
      <c r="A21" s="6">
        <v>1</v>
      </c>
      <c r="B21" s="6" t="s">
        <v>27</v>
      </c>
      <c r="C21" s="6">
        <v>1</v>
      </c>
      <c r="D21" s="6" t="s">
        <v>28</v>
      </c>
      <c r="E21" s="6" t="s">
        <v>29</v>
      </c>
      <c r="F21" s="6" t="s">
        <v>55</v>
      </c>
      <c r="G21" s="6" t="s">
        <v>56</v>
      </c>
      <c r="H21" s="6" t="s">
        <v>43</v>
      </c>
      <c r="I21" s="7">
        <v>2020051290019</v>
      </c>
      <c r="J21" s="6">
        <v>4</v>
      </c>
      <c r="K21" s="6">
        <v>1144</v>
      </c>
      <c r="L21" s="6" t="s">
        <v>61</v>
      </c>
      <c r="M21" s="6" t="s">
        <v>34</v>
      </c>
      <c r="N21" s="9" t="s">
        <v>35</v>
      </c>
      <c r="O21" s="6" t="s">
        <v>36</v>
      </c>
      <c r="P21" s="6" t="s">
        <v>37</v>
      </c>
      <c r="Q21" s="6">
        <v>1</v>
      </c>
      <c r="R21" s="21">
        <f t="shared" si="0"/>
        <v>25606250</v>
      </c>
      <c r="S21" s="21">
        <v>0</v>
      </c>
      <c r="T21" s="20">
        <v>0</v>
      </c>
      <c r="U21" s="20">
        <v>0</v>
      </c>
      <c r="V21" s="20">
        <v>0</v>
      </c>
      <c r="W21" s="20">
        <f>4606250+21000000</f>
        <v>25606250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</row>
    <row r="22" spans="1:33" ht="49.5" customHeight="1" x14ac:dyDescent="0.2">
      <c r="A22" s="6">
        <v>1</v>
      </c>
      <c r="B22" s="6" t="s">
        <v>27</v>
      </c>
      <c r="C22" s="6">
        <v>1</v>
      </c>
      <c r="D22" s="6" t="s">
        <v>28</v>
      </c>
      <c r="E22" s="6" t="s">
        <v>29</v>
      </c>
      <c r="F22" s="6" t="s">
        <v>55</v>
      </c>
      <c r="G22" s="6" t="s">
        <v>56</v>
      </c>
      <c r="H22" s="6" t="s">
        <v>43</v>
      </c>
      <c r="I22" s="7">
        <v>2020051290019</v>
      </c>
      <c r="J22" s="6">
        <v>5</v>
      </c>
      <c r="K22" s="6">
        <v>1145</v>
      </c>
      <c r="L22" s="6" t="s">
        <v>62</v>
      </c>
      <c r="M22" s="6" t="s">
        <v>34</v>
      </c>
      <c r="N22" s="9" t="s">
        <v>35</v>
      </c>
      <c r="O22" s="6" t="s">
        <v>36</v>
      </c>
      <c r="P22" s="6" t="s">
        <v>37</v>
      </c>
      <c r="Q22" s="6">
        <v>12</v>
      </c>
      <c r="R22" s="21">
        <f t="shared" si="0"/>
        <v>54606250</v>
      </c>
      <c r="S22" s="21">
        <v>0</v>
      </c>
      <c r="T22" s="20">
        <v>0</v>
      </c>
      <c r="U22" s="20">
        <v>0</v>
      </c>
      <c r="V22" s="20">
        <v>0</v>
      </c>
      <c r="W22" s="20">
        <f>4606250+50000000</f>
        <v>54606250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</row>
    <row r="23" spans="1:33" ht="45" customHeight="1" x14ac:dyDescent="0.2">
      <c r="A23" s="6">
        <v>1</v>
      </c>
      <c r="B23" s="6" t="s">
        <v>27</v>
      </c>
      <c r="C23" s="6">
        <v>1</v>
      </c>
      <c r="D23" s="6" t="s">
        <v>28</v>
      </c>
      <c r="E23" s="6" t="s">
        <v>29</v>
      </c>
      <c r="F23" s="6" t="s">
        <v>41</v>
      </c>
      <c r="G23" s="6" t="s">
        <v>42</v>
      </c>
      <c r="H23" s="6" t="s">
        <v>63</v>
      </c>
      <c r="I23" s="7">
        <v>2020051290038</v>
      </c>
      <c r="J23" s="6">
        <v>1</v>
      </c>
      <c r="K23" s="6">
        <v>1121</v>
      </c>
      <c r="L23" s="6" t="s">
        <v>64</v>
      </c>
      <c r="M23" s="6" t="s">
        <v>34</v>
      </c>
      <c r="N23" s="6" t="s">
        <v>35</v>
      </c>
      <c r="O23" s="6" t="s">
        <v>65</v>
      </c>
      <c r="P23" s="8" t="s">
        <v>37</v>
      </c>
      <c r="Q23" s="6">
        <v>2</v>
      </c>
      <c r="R23" s="21">
        <f t="shared" si="0"/>
        <v>23114960</v>
      </c>
      <c r="S23" s="21">
        <v>0</v>
      </c>
      <c r="T23" s="20">
        <v>0</v>
      </c>
      <c r="U23" s="20">
        <v>0</v>
      </c>
      <c r="V23" s="20">
        <v>0</v>
      </c>
      <c r="W23" s="20">
        <v>23114960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</row>
    <row r="24" spans="1:33" ht="45" customHeight="1" x14ac:dyDescent="0.2">
      <c r="A24" s="6">
        <v>1</v>
      </c>
      <c r="B24" s="6" t="s">
        <v>27</v>
      </c>
      <c r="C24" s="6">
        <v>1</v>
      </c>
      <c r="D24" s="6" t="s">
        <v>28</v>
      </c>
      <c r="E24" s="6" t="s">
        <v>29</v>
      </c>
      <c r="F24" s="6" t="s">
        <v>41</v>
      </c>
      <c r="G24" s="6" t="s">
        <v>42</v>
      </c>
      <c r="H24" s="6" t="s">
        <v>63</v>
      </c>
      <c r="I24" s="7">
        <v>2020051290038</v>
      </c>
      <c r="J24" s="6">
        <v>1</v>
      </c>
      <c r="K24" s="6">
        <v>1121</v>
      </c>
      <c r="L24" s="6" t="s">
        <v>64</v>
      </c>
      <c r="M24" s="6" t="s">
        <v>34</v>
      </c>
      <c r="N24" s="6" t="s">
        <v>35</v>
      </c>
      <c r="O24" s="6" t="s">
        <v>65</v>
      </c>
      <c r="P24" s="8" t="s">
        <v>67</v>
      </c>
      <c r="Q24" s="6">
        <v>2</v>
      </c>
      <c r="R24" s="21">
        <f t="shared" si="0"/>
        <v>114309660</v>
      </c>
      <c r="S24" s="21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8">
        <f>81293370+33016290</f>
        <v>114309660</v>
      </c>
      <c r="AF24" s="20">
        <v>0</v>
      </c>
      <c r="AG24" s="20">
        <v>0</v>
      </c>
    </row>
    <row r="25" spans="1:33" ht="39" customHeight="1" x14ac:dyDescent="0.2">
      <c r="A25" s="6">
        <v>1</v>
      </c>
      <c r="B25" s="6" t="s">
        <v>27</v>
      </c>
      <c r="C25" s="6">
        <v>2</v>
      </c>
      <c r="D25" s="6" t="s">
        <v>68</v>
      </c>
      <c r="E25" s="6" t="s">
        <v>69</v>
      </c>
      <c r="F25" s="6" t="s">
        <v>70</v>
      </c>
      <c r="G25" s="6" t="s">
        <v>71</v>
      </c>
      <c r="H25" s="6" t="s">
        <v>72</v>
      </c>
      <c r="I25" s="7">
        <v>2020051290027</v>
      </c>
      <c r="J25" s="6">
        <v>1</v>
      </c>
      <c r="K25" s="6">
        <v>1211</v>
      </c>
      <c r="L25" s="6" t="s">
        <v>73</v>
      </c>
      <c r="M25" s="6" t="s">
        <v>34</v>
      </c>
      <c r="N25" s="9" t="s">
        <v>35</v>
      </c>
      <c r="O25" s="6" t="s">
        <v>74</v>
      </c>
      <c r="P25" s="8" t="s">
        <v>679</v>
      </c>
      <c r="Q25" s="6">
        <v>1</v>
      </c>
      <c r="R25" s="21">
        <f t="shared" si="0"/>
        <v>2600000000</v>
      </c>
      <c r="S25" s="21">
        <v>0</v>
      </c>
      <c r="T25" s="20">
        <v>2600000000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</row>
    <row r="26" spans="1:33" ht="39" customHeight="1" x14ac:dyDescent="0.2">
      <c r="A26" s="6">
        <v>1</v>
      </c>
      <c r="B26" s="6" t="s">
        <v>27</v>
      </c>
      <c r="C26" s="6">
        <v>2</v>
      </c>
      <c r="D26" s="6" t="s">
        <v>68</v>
      </c>
      <c r="E26" s="6" t="s">
        <v>69</v>
      </c>
      <c r="F26" s="6" t="s">
        <v>70</v>
      </c>
      <c r="G26" s="6" t="s">
        <v>71</v>
      </c>
      <c r="H26" s="6" t="s">
        <v>72</v>
      </c>
      <c r="I26" s="7">
        <v>2020051290027</v>
      </c>
      <c r="J26" s="6">
        <v>1</v>
      </c>
      <c r="K26" s="6">
        <v>1211</v>
      </c>
      <c r="L26" s="6" t="s">
        <v>73</v>
      </c>
      <c r="M26" s="6" t="s">
        <v>34</v>
      </c>
      <c r="N26" s="9" t="s">
        <v>35</v>
      </c>
      <c r="O26" s="6" t="s">
        <v>74</v>
      </c>
      <c r="P26" s="6" t="s">
        <v>37</v>
      </c>
      <c r="Q26" s="6">
        <v>1</v>
      </c>
      <c r="R26" s="21">
        <f t="shared" si="0"/>
        <v>197487256</v>
      </c>
      <c r="S26" s="21">
        <v>0</v>
      </c>
      <c r="T26" s="20">
        <v>0</v>
      </c>
      <c r="U26" s="20">
        <v>0</v>
      </c>
      <c r="V26" s="20">
        <v>0</v>
      </c>
      <c r="W26" s="20">
        <f>186264603+11222653</f>
        <v>197487256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</row>
    <row r="27" spans="1:33" ht="39" customHeight="1" x14ac:dyDescent="0.2">
      <c r="A27" s="6">
        <v>1</v>
      </c>
      <c r="B27" s="6" t="s">
        <v>27</v>
      </c>
      <c r="C27" s="6">
        <v>2</v>
      </c>
      <c r="D27" s="6" t="s">
        <v>68</v>
      </c>
      <c r="E27" s="6" t="s">
        <v>69</v>
      </c>
      <c r="F27" s="6" t="s">
        <v>70</v>
      </c>
      <c r="G27" s="6" t="s">
        <v>71</v>
      </c>
      <c r="H27" s="6" t="s">
        <v>72</v>
      </c>
      <c r="I27" s="7">
        <v>2020051290027</v>
      </c>
      <c r="J27" s="6">
        <v>1</v>
      </c>
      <c r="K27" s="6">
        <v>1211</v>
      </c>
      <c r="L27" s="6" t="s">
        <v>73</v>
      </c>
      <c r="M27" s="6" t="s">
        <v>34</v>
      </c>
      <c r="N27" s="9" t="s">
        <v>35</v>
      </c>
      <c r="O27" s="6" t="s">
        <v>74</v>
      </c>
      <c r="P27" s="6" t="s">
        <v>681</v>
      </c>
      <c r="Q27" s="6">
        <v>1</v>
      </c>
      <c r="R27" s="21">
        <f t="shared" si="0"/>
        <v>0</v>
      </c>
      <c r="S27" s="21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</row>
    <row r="28" spans="1:33" ht="30" customHeight="1" x14ac:dyDescent="0.2">
      <c r="A28" s="6">
        <v>1</v>
      </c>
      <c r="B28" s="6" t="s">
        <v>27</v>
      </c>
      <c r="C28" s="6">
        <v>2</v>
      </c>
      <c r="D28" s="6" t="s">
        <v>68</v>
      </c>
      <c r="E28" s="6" t="s">
        <v>69</v>
      </c>
      <c r="F28" s="6" t="s">
        <v>75</v>
      </c>
      <c r="G28" s="6" t="s">
        <v>76</v>
      </c>
      <c r="H28" s="6" t="s">
        <v>88</v>
      </c>
      <c r="I28" s="7">
        <v>2020051290042</v>
      </c>
      <c r="J28" s="6">
        <v>1</v>
      </c>
      <c r="K28" s="6">
        <v>1221</v>
      </c>
      <c r="L28" s="6" t="s">
        <v>77</v>
      </c>
      <c r="M28" s="6" t="s">
        <v>78</v>
      </c>
      <c r="N28" s="9" t="s">
        <v>60</v>
      </c>
      <c r="O28" s="6" t="s">
        <v>677</v>
      </c>
      <c r="P28" s="6" t="s">
        <v>37</v>
      </c>
      <c r="Q28" s="9">
        <v>1</v>
      </c>
      <c r="R28" s="21">
        <f t="shared" si="0"/>
        <v>34250000</v>
      </c>
      <c r="S28" s="21">
        <v>0</v>
      </c>
      <c r="T28" s="20">
        <v>0</v>
      </c>
      <c r="U28" s="20">
        <v>0</v>
      </c>
      <c r="V28" s="20">
        <v>0</v>
      </c>
      <c r="W28" s="20">
        <v>34250000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</row>
    <row r="29" spans="1:33" ht="57" customHeight="1" x14ac:dyDescent="0.2">
      <c r="A29" s="6">
        <v>1</v>
      </c>
      <c r="B29" s="6" t="s">
        <v>27</v>
      </c>
      <c r="C29" s="6">
        <v>2</v>
      </c>
      <c r="D29" s="6" t="s">
        <v>68</v>
      </c>
      <c r="E29" s="6" t="s">
        <v>69</v>
      </c>
      <c r="F29" s="6" t="s">
        <v>75</v>
      </c>
      <c r="G29" s="6" t="s">
        <v>76</v>
      </c>
      <c r="H29" s="6" t="s">
        <v>88</v>
      </c>
      <c r="I29" s="7">
        <v>2020051290042</v>
      </c>
      <c r="J29" s="6">
        <v>2</v>
      </c>
      <c r="K29" s="6">
        <v>1222</v>
      </c>
      <c r="L29" s="6" t="s">
        <v>79</v>
      </c>
      <c r="M29" s="6" t="s">
        <v>34</v>
      </c>
      <c r="N29" s="9" t="s">
        <v>35</v>
      </c>
      <c r="O29" s="6" t="s">
        <v>677</v>
      </c>
      <c r="P29" s="6" t="s">
        <v>37</v>
      </c>
      <c r="Q29" s="6">
        <v>1</v>
      </c>
      <c r="R29" s="21">
        <f t="shared" si="0"/>
        <v>54890678</v>
      </c>
      <c r="S29" s="21">
        <v>0</v>
      </c>
      <c r="T29" s="20">
        <v>0</v>
      </c>
      <c r="U29" s="20">
        <v>0</v>
      </c>
      <c r="V29" s="20">
        <v>0</v>
      </c>
      <c r="W29" s="20">
        <v>54890678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</row>
    <row r="30" spans="1:33" ht="45" customHeight="1" x14ac:dyDescent="0.2">
      <c r="A30" s="6">
        <v>1</v>
      </c>
      <c r="B30" s="6" t="s">
        <v>27</v>
      </c>
      <c r="C30" s="6">
        <v>2</v>
      </c>
      <c r="D30" s="6" t="s">
        <v>68</v>
      </c>
      <c r="E30" s="6" t="s">
        <v>69</v>
      </c>
      <c r="F30" s="6" t="s">
        <v>75</v>
      </c>
      <c r="G30" s="6" t="s">
        <v>76</v>
      </c>
      <c r="H30" s="6" t="s">
        <v>88</v>
      </c>
      <c r="I30" s="7">
        <v>2020051290042</v>
      </c>
      <c r="J30" s="6">
        <v>3</v>
      </c>
      <c r="K30" s="6">
        <v>1223</v>
      </c>
      <c r="L30" s="6" t="s">
        <v>80</v>
      </c>
      <c r="M30" s="6" t="s">
        <v>34</v>
      </c>
      <c r="N30" s="9" t="s">
        <v>35</v>
      </c>
      <c r="O30" s="6" t="s">
        <v>677</v>
      </c>
      <c r="P30" s="6" t="s">
        <v>37</v>
      </c>
      <c r="Q30" s="6">
        <v>1</v>
      </c>
      <c r="R30" s="21">
        <f t="shared" si="0"/>
        <v>22927473</v>
      </c>
      <c r="S30" s="21">
        <v>0</v>
      </c>
      <c r="T30" s="20">
        <v>0</v>
      </c>
      <c r="U30" s="20">
        <v>0</v>
      </c>
      <c r="V30" s="20">
        <v>0</v>
      </c>
      <c r="W30" s="20">
        <v>22927473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</row>
    <row r="31" spans="1:33" ht="30" customHeight="1" x14ac:dyDescent="0.2">
      <c r="A31" s="6">
        <v>1</v>
      </c>
      <c r="B31" s="6" t="s">
        <v>27</v>
      </c>
      <c r="C31" s="6">
        <v>2</v>
      </c>
      <c r="D31" s="6" t="s">
        <v>68</v>
      </c>
      <c r="E31" s="6" t="s">
        <v>69</v>
      </c>
      <c r="F31" s="6" t="s">
        <v>75</v>
      </c>
      <c r="G31" s="6" t="s">
        <v>76</v>
      </c>
      <c r="H31" s="6" t="s">
        <v>88</v>
      </c>
      <c r="I31" s="7">
        <v>2020051290042</v>
      </c>
      <c r="J31" s="6">
        <v>4</v>
      </c>
      <c r="K31" s="6">
        <v>1224</v>
      </c>
      <c r="L31" s="6" t="s">
        <v>81</v>
      </c>
      <c r="M31" s="6" t="s">
        <v>34</v>
      </c>
      <c r="N31" s="9" t="s">
        <v>35</v>
      </c>
      <c r="O31" s="6" t="s">
        <v>677</v>
      </c>
      <c r="P31" s="6" t="s">
        <v>37</v>
      </c>
      <c r="Q31" s="6">
        <v>1</v>
      </c>
      <c r="R31" s="21">
        <f t="shared" si="0"/>
        <v>41433056</v>
      </c>
      <c r="S31" s="21">
        <v>0</v>
      </c>
      <c r="T31" s="20">
        <v>0</v>
      </c>
      <c r="U31" s="20">
        <v>0</v>
      </c>
      <c r="V31" s="20">
        <v>0</v>
      </c>
      <c r="W31" s="20">
        <v>41433056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</row>
    <row r="32" spans="1:33" ht="30" customHeight="1" x14ac:dyDescent="0.2">
      <c r="A32" s="6">
        <v>1</v>
      </c>
      <c r="B32" s="6" t="s">
        <v>27</v>
      </c>
      <c r="C32" s="6">
        <v>2</v>
      </c>
      <c r="D32" s="6" t="s">
        <v>68</v>
      </c>
      <c r="E32" s="6" t="s">
        <v>69</v>
      </c>
      <c r="F32" s="6" t="s">
        <v>82</v>
      </c>
      <c r="G32" s="6" t="s">
        <v>83</v>
      </c>
      <c r="H32" s="6" t="s">
        <v>88</v>
      </c>
      <c r="I32" s="7">
        <v>2020051290042</v>
      </c>
      <c r="J32" s="6">
        <v>1</v>
      </c>
      <c r="K32" s="6">
        <v>1231</v>
      </c>
      <c r="L32" s="6" t="s">
        <v>84</v>
      </c>
      <c r="M32" s="6" t="s">
        <v>78</v>
      </c>
      <c r="N32" s="9" t="s">
        <v>60</v>
      </c>
      <c r="O32" s="6" t="s">
        <v>677</v>
      </c>
      <c r="P32" s="6" t="s">
        <v>37</v>
      </c>
      <c r="Q32" s="9">
        <v>1</v>
      </c>
      <c r="R32" s="21">
        <f t="shared" si="0"/>
        <v>51909891</v>
      </c>
      <c r="S32" s="21">
        <v>0</v>
      </c>
      <c r="T32" s="20">
        <v>0</v>
      </c>
      <c r="U32" s="20">
        <v>0</v>
      </c>
      <c r="V32" s="20">
        <v>0</v>
      </c>
      <c r="W32" s="20">
        <v>51909891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</row>
    <row r="33" spans="1:33" ht="45" customHeight="1" x14ac:dyDescent="0.2">
      <c r="A33" s="6">
        <v>1</v>
      </c>
      <c r="B33" s="6" t="s">
        <v>27</v>
      </c>
      <c r="C33" s="6">
        <v>2</v>
      </c>
      <c r="D33" s="6" t="s">
        <v>68</v>
      </c>
      <c r="E33" s="6" t="s">
        <v>69</v>
      </c>
      <c r="F33" s="6" t="s">
        <v>82</v>
      </c>
      <c r="G33" s="6" t="s">
        <v>83</v>
      </c>
      <c r="H33" s="6" t="s">
        <v>88</v>
      </c>
      <c r="I33" s="7">
        <v>2020051290042</v>
      </c>
      <c r="J33" s="6">
        <v>2</v>
      </c>
      <c r="K33" s="6">
        <v>1232</v>
      </c>
      <c r="L33" s="6" t="s">
        <v>85</v>
      </c>
      <c r="M33" s="6" t="s">
        <v>34</v>
      </c>
      <c r="N33" s="9" t="s">
        <v>35</v>
      </c>
      <c r="O33" s="6" t="s">
        <v>677</v>
      </c>
      <c r="P33" s="6" t="s">
        <v>37</v>
      </c>
      <c r="Q33" s="6">
        <v>1</v>
      </c>
      <c r="R33" s="21">
        <f t="shared" si="0"/>
        <v>7818315</v>
      </c>
      <c r="S33" s="21">
        <v>0</v>
      </c>
      <c r="T33" s="20">
        <v>0</v>
      </c>
      <c r="U33" s="20">
        <v>0</v>
      </c>
      <c r="V33" s="20">
        <v>0</v>
      </c>
      <c r="W33" s="20">
        <v>7818315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</row>
    <row r="34" spans="1:33" ht="45" customHeight="1" x14ac:dyDescent="0.2">
      <c r="A34" s="6">
        <v>1</v>
      </c>
      <c r="B34" s="6" t="s">
        <v>27</v>
      </c>
      <c r="C34" s="6">
        <v>2</v>
      </c>
      <c r="D34" s="6" t="s">
        <v>68</v>
      </c>
      <c r="E34" s="6" t="s">
        <v>69</v>
      </c>
      <c r="F34" s="6" t="s">
        <v>70</v>
      </c>
      <c r="G34" s="6" t="s">
        <v>71</v>
      </c>
      <c r="H34" s="6" t="s">
        <v>86</v>
      </c>
      <c r="I34" s="7">
        <v>2020051290027</v>
      </c>
      <c r="J34" s="6">
        <v>2</v>
      </c>
      <c r="K34" s="6">
        <v>1212</v>
      </c>
      <c r="L34" s="6" t="s">
        <v>87</v>
      </c>
      <c r="M34" s="6" t="s">
        <v>34</v>
      </c>
      <c r="N34" s="9" t="s">
        <v>35</v>
      </c>
      <c r="O34" s="6" t="s">
        <v>65</v>
      </c>
      <c r="P34" s="6" t="s">
        <v>67</v>
      </c>
      <c r="Q34" s="6">
        <v>1</v>
      </c>
      <c r="R34" s="21">
        <f t="shared" si="0"/>
        <v>171893605</v>
      </c>
      <c r="S34" s="21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f>81293370+90600235</f>
        <v>171893605</v>
      </c>
      <c r="AF34" s="20">
        <v>0</v>
      </c>
      <c r="AG34" s="20">
        <v>0</v>
      </c>
    </row>
    <row r="35" spans="1:33" ht="44.25" customHeight="1" x14ac:dyDescent="0.2">
      <c r="A35" s="6">
        <v>1</v>
      </c>
      <c r="B35" s="6" t="s">
        <v>27</v>
      </c>
      <c r="C35" s="6">
        <v>2</v>
      </c>
      <c r="D35" s="6" t="s">
        <v>68</v>
      </c>
      <c r="E35" s="6" t="s">
        <v>69</v>
      </c>
      <c r="F35" s="6" t="s">
        <v>75</v>
      </c>
      <c r="G35" s="6" t="s">
        <v>76</v>
      </c>
      <c r="H35" s="6" t="s">
        <v>88</v>
      </c>
      <c r="I35" s="7">
        <v>2020051290042</v>
      </c>
      <c r="J35" s="6">
        <v>5</v>
      </c>
      <c r="K35" s="6">
        <v>1225</v>
      </c>
      <c r="L35" s="6" t="s">
        <v>89</v>
      </c>
      <c r="M35" s="6" t="s">
        <v>34</v>
      </c>
      <c r="N35" s="9" t="s">
        <v>35</v>
      </c>
      <c r="O35" s="6" t="s">
        <v>90</v>
      </c>
      <c r="P35" s="6" t="s">
        <v>67</v>
      </c>
      <c r="Q35" s="6">
        <v>1</v>
      </c>
      <c r="R35" s="21">
        <f t="shared" si="0"/>
        <v>121111702</v>
      </c>
      <c r="S35" s="21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8">
        <f>81293370+39818332</f>
        <v>121111702</v>
      </c>
      <c r="AF35" s="20">
        <v>0</v>
      </c>
      <c r="AG35" s="20">
        <v>0</v>
      </c>
    </row>
    <row r="36" spans="1:33" ht="44.25" customHeight="1" x14ac:dyDescent="0.2">
      <c r="A36" s="6">
        <v>1</v>
      </c>
      <c r="B36" s="6" t="s">
        <v>27</v>
      </c>
      <c r="C36" s="6">
        <v>2</v>
      </c>
      <c r="D36" s="6" t="s">
        <v>68</v>
      </c>
      <c r="E36" s="6" t="s">
        <v>69</v>
      </c>
      <c r="F36" s="6" t="s">
        <v>75</v>
      </c>
      <c r="G36" s="6" t="s">
        <v>76</v>
      </c>
      <c r="H36" s="6" t="s">
        <v>88</v>
      </c>
      <c r="I36" s="7">
        <v>2020051290042</v>
      </c>
      <c r="J36" s="6">
        <v>5</v>
      </c>
      <c r="K36" s="6">
        <v>1225</v>
      </c>
      <c r="L36" s="6" t="s">
        <v>89</v>
      </c>
      <c r="M36" s="6" t="s">
        <v>34</v>
      </c>
      <c r="N36" s="9" t="s">
        <v>35</v>
      </c>
      <c r="O36" s="6" t="s">
        <v>90</v>
      </c>
      <c r="P36" s="6" t="s">
        <v>37</v>
      </c>
      <c r="Q36" s="6">
        <v>1</v>
      </c>
      <c r="R36" s="21">
        <f t="shared" si="0"/>
        <v>28393890</v>
      </c>
      <c r="S36" s="21">
        <v>0</v>
      </c>
      <c r="T36" s="20">
        <v>0</v>
      </c>
      <c r="U36" s="20">
        <v>0</v>
      </c>
      <c r="V36" s="20">
        <v>0</v>
      </c>
      <c r="W36" s="8">
        <v>28393890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</row>
    <row r="37" spans="1:33" ht="30" customHeight="1" x14ac:dyDescent="0.2">
      <c r="A37" s="6">
        <v>1</v>
      </c>
      <c r="B37" s="6" t="s">
        <v>27</v>
      </c>
      <c r="C37" s="6">
        <v>3</v>
      </c>
      <c r="D37" s="6" t="s">
        <v>91</v>
      </c>
      <c r="E37" s="6" t="s">
        <v>92</v>
      </c>
      <c r="F37" s="6" t="s">
        <v>93</v>
      </c>
      <c r="G37" s="6" t="s">
        <v>94</v>
      </c>
      <c r="H37" s="6" t="s">
        <v>95</v>
      </c>
      <c r="I37" s="7">
        <v>2020051290051</v>
      </c>
      <c r="J37" s="6">
        <v>1</v>
      </c>
      <c r="K37" s="6">
        <v>1311</v>
      </c>
      <c r="L37" s="6" t="s">
        <v>96</v>
      </c>
      <c r="M37" s="6" t="s">
        <v>46</v>
      </c>
      <c r="N37" s="9" t="s">
        <v>60</v>
      </c>
      <c r="O37" s="6" t="s">
        <v>36</v>
      </c>
      <c r="P37" s="6" t="s">
        <v>37</v>
      </c>
      <c r="Q37" s="9">
        <v>1</v>
      </c>
      <c r="R37" s="21">
        <f t="shared" si="0"/>
        <v>24736250</v>
      </c>
      <c r="S37" s="21">
        <v>0</v>
      </c>
      <c r="T37" s="16">
        <v>0</v>
      </c>
      <c r="U37" s="16">
        <v>0</v>
      </c>
      <c r="V37" s="20">
        <v>0</v>
      </c>
      <c r="W37" s="16">
        <f>4606250+20130000</f>
        <v>24736250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</row>
    <row r="38" spans="1:33" ht="30" customHeight="1" x14ac:dyDescent="0.2">
      <c r="A38" s="6">
        <v>1</v>
      </c>
      <c r="B38" s="6" t="s">
        <v>27</v>
      </c>
      <c r="C38" s="6">
        <v>3</v>
      </c>
      <c r="D38" s="6" t="s">
        <v>91</v>
      </c>
      <c r="E38" s="6" t="s">
        <v>92</v>
      </c>
      <c r="F38" s="6" t="s">
        <v>93</v>
      </c>
      <c r="G38" s="6" t="s">
        <v>94</v>
      </c>
      <c r="H38" s="6" t="s">
        <v>95</v>
      </c>
      <c r="I38" s="7">
        <v>2020051290051</v>
      </c>
      <c r="J38" s="6">
        <v>2</v>
      </c>
      <c r="K38" s="6">
        <v>1312</v>
      </c>
      <c r="L38" s="6" t="s">
        <v>97</v>
      </c>
      <c r="M38" s="6" t="s">
        <v>34</v>
      </c>
      <c r="N38" s="9" t="s">
        <v>35</v>
      </c>
      <c r="O38" s="6" t="s">
        <v>36</v>
      </c>
      <c r="P38" s="6" t="s">
        <v>37</v>
      </c>
      <c r="Q38" s="6">
        <v>1</v>
      </c>
      <c r="R38" s="21">
        <f t="shared" si="0"/>
        <v>39606250</v>
      </c>
      <c r="S38" s="21">
        <v>0</v>
      </c>
      <c r="T38" s="16">
        <v>0</v>
      </c>
      <c r="U38" s="16">
        <v>0</v>
      </c>
      <c r="V38" s="20">
        <v>0</v>
      </c>
      <c r="W38" s="16">
        <f>4606250+35000000</f>
        <v>39606250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</row>
    <row r="39" spans="1:33" ht="30" customHeight="1" x14ac:dyDescent="0.2">
      <c r="A39" s="6">
        <v>1</v>
      </c>
      <c r="B39" s="6" t="s">
        <v>27</v>
      </c>
      <c r="C39" s="6">
        <v>3</v>
      </c>
      <c r="D39" s="6" t="s">
        <v>91</v>
      </c>
      <c r="E39" s="6" t="s">
        <v>92</v>
      </c>
      <c r="F39" s="6" t="s">
        <v>93</v>
      </c>
      <c r="G39" s="6" t="s">
        <v>94</v>
      </c>
      <c r="H39" s="6" t="s">
        <v>95</v>
      </c>
      <c r="I39" s="7">
        <v>2020051290051</v>
      </c>
      <c r="J39" s="6">
        <v>4</v>
      </c>
      <c r="K39" s="6">
        <v>1314</v>
      </c>
      <c r="L39" s="6" t="s">
        <v>98</v>
      </c>
      <c r="M39" s="6" t="s">
        <v>34</v>
      </c>
      <c r="N39" s="9" t="s">
        <v>35</v>
      </c>
      <c r="O39" s="6" t="s">
        <v>36</v>
      </c>
      <c r="P39" s="6" t="s">
        <v>37</v>
      </c>
      <c r="Q39" s="6">
        <v>14</v>
      </c>
      <c r="R39" s="21">
        <f t="shared" si="0"/>
        <v>32971250</v>
      </c>
      <c r="S39" s="21">
        <v>0</v>
      </c>
      <c r="T39" s="16">
        <v>0</v>
      </c>
      <c r="U39" s="16">
        <v>0</v>
      </c>
      <c r="V39" s="20">
        <v>0</v>
      </c>
      <c r="W39" s="16">
        <f>4606250+28365000</f>
        <v>32971250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</row>
    <row r="40" spans="1:33" ht="60" customHeight="1" x14ac:dyDescent="0.2">
      <c r="A40" s="6">
        <v>1</v>
      </c>
      <c r="B40" s="6" t="s">
        <v>27</v>
      </c>
      <c r="C40" s="6">
        <v>3</v>
      </c>
      <c r="D40" s="6" t="s">
        <v>91</v>
      </c>
      <c r="E40" s="6" t="s">
        <v>92</v>
      </c>
      <c r="F40" s="6" t="s">
        <v>93</v>
      </c>
      <c r="G40" s="6" t="s">
        <v>94</v>
      </c>
      <c r="H40" s="6" t="s">
        <v>95</v>
      </c>
      <c r="I40" s="7">
        <v>2020051290051</v>
      </c>
      <c r="J40" s="6">
        <v>5</v>
      </c>
      <c r="K40" s="6">
        <v>1315</v>
      </c>
      <c r="L40" s="6" t="s">
        <v>99</v>
      </c>
      <c r="M40" s="6" t="s">
        <v>34</v>
      </c>
      <c r="N40" s="9" t="s">
        <v>35</v>
      </c>
      <c r="O40" s="6" t="s">
        <v>36</v>
      </c>
      <c r="P40" s="6" t="s">
        <v>37</v>
      </c>
      <c r="Q40" s="6">
        <v>1</v>
      </c>
      <c r="R40" s="21">
        <f t="shared" si="0"/>
        <v>23101250</v>
      </c>
      <c r="S40" s="21">
        <v>0</v>
      </c>
      <c r="T40" s="16">
        <v>0</v>
      </c>
      <c r="U40" s="16">
        <v>0</v>
      </c>
      <c r="V40" s="20">
        <v>0</v>
      </c>
      <c r="W40" s="16">
        <f>4606250+18495000</f>
        <v>23101250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</row>
    <row r="41" spans="1:33" ht="30" customHeight="1" x14ac:dyDescent="0.2">
      <c r="A41" s="6">
        <v>1</v>
      </c>
      <c r="B41" s="6" t="s">
        <v>27</v>
      </c>
      <c r="C41" s="6">
        <v>3</v>
      </c>
      <c r="D41" s="6" t="s">
        <v>91</v>
      </c>
      <c r="E41" s="6" t="s">
        <v>92</v>
      </c>
      <c r="F41" s="6" t="s">
        <v>93</v>
      </c>
      <c r="G41" s="6" t="s">
        <v>94</v>
      </c>
      <c r="H41" s="6" t="s">
        <v>95</v>
      </c>
      <c r="I41" s="7">
        <v>2020051290051</v>
      </c>
      <c r="J41" s="6">
        <v>6</v>
      </c>
      <c r="K41" s="6">
        <v>1316</v>
      </c>
      <c r="L41" s="6" t="s">
        <v>100</v>
      </c>
      <c r="M41" s="6" t="s">
        <v>34</v>
      </c>
      <c r="N41" s="9" t="s">
        <v>35</v>
      </c>
      <c r="O41" s="6" t="s">
        <v>36</v>
      </c>
      <c r="P41" s="6" t="s">
        <v>37</v>
      </c>
      <c r="Q41" s="6">
        <v>1</v>
      </c>
      <c r="R41" s="21">
        <f t="shared" si="0"/>
        <v>14606250</v>
      </c>
      <c r="S41" s="21">
        <v>0</v>
      </c>
      <c r="T41" s="16">
        <v>0</v>
      </c>
      <c r="U41" s="16">
        <v>0</v>
      </c>
      <c r="V41" s="20">
        <v>0</v>
      </c>
      <c r="W41" s="16">
        <f>4606250+10000000</f>
        <v>14606250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</row>
    <row r="42" spans="1:33" ht="45" customHeight="1" x14ac:dyDescent="0.2">
      <c r="A42" s="6">
        <v>1</v>
      </c>
      <c r="B42" s="6" t="s">
        <v>27</v>
      </c>
      <c r="C42" s="6">
        <v>4</v>
      </c>
      <c r="D42" s="6" t="s">
        <v>101</v>
      </c>
      <c r="E42" s="6" t="s">
        <v>102</v>
      </c>
      <c r="F42" s="6" t="s">
        <v>103</v>
      </c>
      <c r="G42" s="6" t="s">
        <v>45</v>
      </c>
      <c r="H42" s="6" t="s">
        <v>88</v>
      </c>
      <c r="I42" s="7">
        <v>2020051290042</v>
      </c>
      <c r="J42" s="6">
        <v>1</v>
      </c>
      <c r="K42" s="6">
        <v>1411</v>
      </c>
      <c r="L42" s="6" t="s">
        <v>104</v>
      </c>
      <c r="M42" s="6" t="s">
        <v>34</v>
      </c>
      <c r="N42" s="9" t="s">
        <v>35</v>
      </c>
      <c r="O42" s="6" t="s">
        <v>677</v>
      </c>
      <c r="P42" s="6" t="s">
        <v>37</v>
      </c>
      <c r="Q42" s="6">
        <v>1</v>
      </c>
      <c r="R42" s="21">
        <f t="shared" si="0"/>
        <v>250908812</v>
      </c>
      <c r="S42" s="21">
        <v>0</v>
      </c>
      <c r="T42" s="20">
        <v>0</v>
      </c>
      <c r="U42" s="20">
        <v>0</v>
      </c>
      <c r="V42" s="20">
        <v>0</v>
      </c>
      <c r="W42" s="20">
        <v>250908812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</row>
    <row r="43" spans="1:33" ht="60" customHeight="1" x14ac:dyDescent="0.2">
      <c r="A43" s="6">
        <v>1</v>
      </c>
      <c r="B43" s="6" t="s">
        <v>27</v>
      </c>
      <c r="C43" s="6">
        <v>4</v>
      </c>
      <c r="D43" s="6" t="s">
        <v>101</v>
      </c>
      <c r="E43" s="6" t="s">
        <v>102</v>
      </c>
      <c r="F43" s="6" t="s">
        <v>103</v>
      </c>
      <c r="G43" s="6" t="s">
        <v>45</v>
      </c>
      <c r="H43" s="6" t="s">
        <v>105</v>
      </c>
      <c r="I43" s="10">
        <v>2020051290017</v>
      </c>
      <c r="J43" s="6">
        <v>2</v>
      </c>
      <c r="K43" s="6">
        <v>1412</v>
      </c>
      <c r="L43" s="6" t="s">
        <v>106</v>
      </c>
      <c r="M43" s="6" t="s">
        <v>46</v>
      </c>
      <c r="N43" s="9" t="s">
        <v>60</v>
      </c>
      <c r="O43" s="6" t="s">
        <v>36</v>
      </c>
      <c r="P43" s="6" t="s">
        <v>37</v>
      </c>
      <c r="Q43" s="9">
        <v>1</v>
      </c>
      <c r="R43" s="21">
        <f t="shared" si="0"/>
        <v>14606250</v>
      </c>
      <c r="S43" s="21">
        <v>0</v>
      </c>
      <c r="T43" s="20">
        <v>0</v>
      </c>
      <c r="U43" s="20">
        <v>0</v>
      </c>
      <c r="V43" s="20">
        <v>0</v>
      </c>
      <c r="W43" s="20">
        <f>4606250+10000000</f>
        <v>14606250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</row>
    <row r="44" spans="1:33" ht="45" customHeight="1" x14ac:dyDescent="0.2">
      <c r="A44" s="6">
        <v>1</v>
      </c>
      <c r="B44" s="6" t="s">
        <v>27</v>
      </c>
      <c r="C44" s="6">
        <v>4</v>
      </c>
      <c r="D44" s="6" t="s">
        <v>101</v>
      </c>
      <c r="E44" s="6" t="s">
        <v>102</v>
      </c>
      <c r="F44" s="6" t="s">
        <v>103</v>
      </c>
      <c r="G44" s="6" t="s">
        <v>45</v>
      </c>
      <c r="H44" s="6" t="s">
        <v>105</v>
      </c>
      <c r="I44" s="10">
        <v>2020051290017</v>
      </c>
      <c r="J44" s="6">
        <v>3</v>
      </c>
      <c r="K44" s="6">
        <v>1413</v>
      </c>
      <c r="L44" s="6" t="s">
        <v>107</v>
      </c>
      <c r="M44" s="6" t="s">
        <v>34</v>
      </c>
      <c r="N44" s="9" t="s">
        <v>35</v>
      </c>
      <c r="O44" s="6" t="s">
        <v>36</v>
      </c>
      <c r="P44" s="6" t="s">
        <v>37</v>
      </c>
      <c r="Q44" s="6">
        <v>1</v>
      </c>
      <c r="R44" s="21">
        <f t="shared" si="0"/>
        <v>36322121</v>
      </c>
      <c r="S44" s="21">
        <v>0</v>
      </c>
      <c r="T44" s="20">
        <v>0</v>
      </c>
      <c r="U44" s="20">
        <v>0</v>
      </c>
      <c r="V44" s="20">
        <v>0</v>
      </c>
      <c r="W44" s="20">
        <f>25325000+6390871+4606250</f>
        <v>36322121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</row>
    <row r="45" spans="1:33" ht="35.25" customHeight="1" x14ac:dyDescent="0.2">
      <c r="A45" s="6">
        <v>1</v>
      </c>
      <c r="B45" s="6" t="s">
        <v>27</v>
      </c>
      <c r="C45" s="6">
        <v>4</v>
      </c>
      <c r="D45" s="6" t="s">
        <v>101</v>
      </c>
      <c r="E45" s="6" t="s">
        <v>102</v>
      </c>
      <c r="F45" s="6" t="s">
        <v>103</v>
      </c>
      <c r="G45" s="6" t="s">
        <v>45</v>
      </c>
      <c r="H45" s="6" t="s">
        <v>105</v>
      </c>
      <c r="I45" s="10">
        <v>2020051290017</v>
      </c>
      <c r="J45" s="6">
        <v>4</v>
      </c>
      <c r="K45" s="6">
        <v>1414</v>
      </c>
      <c r="L45" s="6" t="s">
        <v>108</v>
      </c>
      <c r="M45" s="6" t="s">
        <v>34</v>
      </c>
      <c r="N45" s="9" t="s">
        <v>35</v>
      </c>
      <c r="O45" s="6" t="s">
        <v>36</v>
      </c>
      <c r="P45" s="6" t="s">
        <v>37</v>
      </c>
      <c r="Q45" s="6">
        <v>1</v>
      </c>
      <c r="R45" s="21">
        <f t="shared" si="0"/>
        <v>25606250</v>
      </c>
      <c r="S45" s="21">
        <v>0</v>
      </c>
      <c r="T45" s="20">
        <v>0</v>
      </c>
      <c r="U45" s="20">
        <v>0</v>
      </c>
      <c r="V45" s="20">
        <v>0</v>
      </c>
      <c r="W45" s="20">
        <f>4606250+21000000</f>
        <v>25606250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</row>
    <row r="46" spans="1:33" ht="60" customHeight="1" x14ac:dyDescent="0.2">
      <c r="A46" s="6">
        <v>1</v>
      </c>
      <c r="B46" s="6" t="s">
        <v>27</v>
      </c>
      <c r="C46" s="6">
        <v>4</v>
      </c>
      <c r="D46" s="6" t="s">
        <v>101</v>
      </c>
      <c r="E46" s="6" t="s">
        <v>102</v>
      </c>
      <c r="F46" s="6" t="s">
        <v>103</v>
      </c>
      <c r="G46" s="6" t="s">
        <v>45</v>
      </c>
      <c r="H46" s="6" t="s">
        <v>105</v>
      </c>
      <c r="I46" s="10">
        <v>2020051290017</v>
      </c>
      <c r="J46" s="6">
        <v>5</v>
      </c>
      <c r="K46" s="6">
        <v>1415</v>
      </c>
      <c r="L46" s="6" t="s">
        <v>109</v>
      </c>
      <c r="M46" s="6" t="s">
        <v>34</v>
      </c>
      <c r="N46" s="9" t="s">
        <v>35</v>
      </c>
      <c r="O46" s="6" t="s">
        <v>36</v>
      </c>
      <c r="P46" s="6" t="s">
        <v>37</v>
      </c>
      <c r="Q46" s="6">
        <v>1</v>
      </c>
      <c r="R46" s="21">
        <f t="shared" si="0"/>
        <v>63281250</v>
      </c>
      <c r="S46" s="21">
        <v>0</v>
      </c>
      <c r="T46" s="20">
        <v>0</v>
      </c>
      <c r="U46" s="20">
        <v>0</v>
      </c>
      <c r="V46" s="20">
        <v>0</v>
      </c>
      <c r="W46" s="20">
        <f>4606250+58675000</f>
        <v>63281250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</row>
    <row r="47" spans="1:33" ht="60" customHeight="1" x14ac:dyDescent="0.2">
      <c r="A47" s="6">
        <v>1</v>
      </c>
      <c r="B47" s="6" t="s">
        <v>27</v>
      </c>
      <c r="C47" s="6">
        <v>4</v>
      </c>
      <c r="D47" s="6" t="s">
        <v>101</v>
      </c>
      <c r="E47" s="6" t="s">
        <v>102</v>
      </c>
      <c r="F47" s="6" t="s">
        <v>103</v>
      </c>
      <c r="G47" s="6" t="s">
        <v>45</v>
      </c>
      <c r="H47" s="6" t="s">
        <v>105</v>
      </c>
      <c r="I47" s="10">
        <v>2020051290017</v>
      </c>
      <c r="J47" s="6">
        <v>5</v>
      </c>
      <c r="K47" s="6">
        <v>1415</v>
      </c>
      <c r="L47" s="6" t="s">
        <v>109</v>
      </c>
      <c r="M47" s="6" t="s">
        <v>34</v>
      </c>
      <c r="N47" s="9" t="s">
        <v>35</v>
      </c>
      <c r="O47" s="6" t="s">
        <v>36</v>
      </c>
      <c r="P47" s="6" t="s">
        <v>52</v>
      </c>
      <c r="Q47" s="6">
        <v>1</v>
      </c>
      <c r="R47" s="21">
        <f t="shared" si="0"/>
        <v>7939572</v>
      </c>
      <c r="S47" s="21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f>10000000-2060428</f>
        <v>7939572</v>
      </c>
      <c r="AE47" s="20">
        <v>0</v>
      </c>
      <c r="AF47" s="20">
        <v>0</v>
      </c>
      <c r="AG47" s="20">
        <v>0</v>
      </c>
    </row>
    <row r="48" spans="1:33" ht="49.5" customHeight="1" x14ac:dyDescent="0.2">
      <c r="A48" s="6">
        <v>1</v>
      </c>
      <c r="B48" s="6" t="s">
        <v>27</v>
      </c>
      <c r="C48" s="6">
        <v>4</v>
      </c>
      <c r="D48" s="6" t="s">
        <v>101</v>
      </c>
      <c r="E48" s="6" t="s">
        <v>102</v>
      </c>
      <c r="F48" s="6" t="s">
        <v>110</v>
      </c>
      <c r="G48" s="6" t="s">
        <v>111</v>
      </c>
      <c r="H48" s="6" t="s">
        <v>673</v>
      </c>
      <c r="I48" s="7">
        <v>2020051290039</v>
      </c>
      <c r="J48" s="6">
        <v>1</v>
      </c>
      <c r="K48" s="6">
        <v>1421</v>
      </c>
      <c r="L48" s="6" t="s">
        <v>112</v>
      </c>
      <c r="M48" s="6" t="s">
        <v>34</v>
      </c>
      <c r="N48" s="9" t="s">
        <v>35</v>
      </c>
      <c r="O48" s="6" t="s">
        <v>90</v>
      </c>
      <c r="P48" s="6" t="s">
        <v>37</v>
      </c>
      <c r="Q48" s="6">
        <v>1</v>
      </c>
      <c r="R48" s="21">
        <f t="shared" si="0"/>
        <v>3683333</v>
      </c>
      <c r="S48" s="21">
        <v>0</v>
      </c>
      <c r="T48" s="20">
        <v>0</v>
      </c>
      <c r="U48" s="20">
        <v>0</v>
      </c>
      <c r="V48" s="20">
        <v>0</v>
      </c>
      <c r="W48" s="20">
        <v>3683333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</row>
    <row r="49" spans="1:33" ht="49.5" customHeight="1" x14ac:dyDescent="0.2">
      <c r="A49" s="6">
        <v>1</v>
      </c>
      <c r="B49" s="6" t="s">
        <v>27</v>
      </c>
      <c r="C49" s="6">
        <v>4</v>
      </c>
      <c r="D49" s="6" t="s">
        <v>101</v>
      </c>
      <c r="E49" s="6" t="s">
        <v>102</v>
      </c>
      <c r="F49" s="6" t="s">
        <v>110</v>
      </c>
      <c r="G49" s="6" t="s">
        <v>111</v>
      </c>
      <c r="H49" s="6" t="s">
        <v>673</v>
      </c>
      <c r="I49" s="7">
        <v>2020051290039</v>
      </c>
      <c r="J49" s="6">
        <v>2</v>
      </c>
      <c r="K49" s="6">
        <v>1422</v>
      </c>
      <c r="L49" s="6" t="s">
        <v>113</v>
      </c>
      <c r="M49" s="6" t="s">
        <v>34</v>
      </c>
      <c r="N49" s="9" t="s">
        <v>35</v>
      </c>
      <c r="O49" s="6" t="s">
        <v>90</v>
      </c>
      <c r="P49" s="6" t="s">
        <v>37</v>
      </c>
      <c r="Q49" s="6">
        <v>1</v>
      </c>
      <c r="R49" s="21">
        <f t="shared" si="0"/>
        <v>109975911.492708</v>
      </c>
      <c r="S49" s="21">
        <v>0</v>
      </c>
      <c r="T49" s="20">
        <v>0</v>
      </c>
      <c r="U49" s="20">
        <v>0</v>
      </c>
      <c r="V49" s="20">
        <v>0</v>
      </c>
      <c r="W49" s="20">
        <v>109975911.492708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</row>
    <row r="50" spans="1:33" ht="49.5" customHeight="1" x14ac:dyDescent="0.2">
      <c r="A50" s="6">
        <v>1</v>
      </c>
      <c r="B50" s="6" t="s">
        <v>27</v>
      </c>
      <c r="C50" s="6">
        <v>4</v>
      </c>
      <c r="D50" s="6" t="s">
        <v>101</v>
      </c>
      <c r="E50" s="6" t="s">
        <v>102</v>
      </c>
      <c r="F50" s="6" t="s">
        <v>110</v>
      </c>
      <c r="G50" s="6" t="s">
        <v>111</v>
      </c>
      <c r="H50" s="6" t="s">
        <v>673</v>
      </c>
      <c r="I50" s="7">
        <v>2020051290039</v>
      </c>
      <c r="J50" s="6">
        <v>2</v>
      </c>
      <c r="K50" s="6">
        <v>1422</v>
      </c>
      <c r="L50" s="6" t="s">
        <v>113</v>
      </c>
      <c r="M50" s="6" t="s">
        <v>34</v>
      </c>
      <c r="N50" s="9" t="s">
        <v>35</v>
      </c>
      <c r="O50" s="6" t="s">
        <v>90</v>
      </c>
      <c r="P50" s="6" t="s">
        <v>37</v>
      </c>
      <c r="Q50" s="6">
        <v>1</v>
      </c>
      <c r="R50" s="21">
        <f t="shared" si="0"/>
        <v>16104088.507291272</v>
      </c>
      <c r="S50" s="21">
        <v>0</v>
      </c>
      <c r="T50" s="20">
        <v>0</v>
      </c>
      <c r="U50" s="20">
        <v>0</v>
      </c>
      <c r="V50" s="20">
        <v>0</v>
      </c>
      <c r="W50" s="20">
        <v>16104088.507291272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</row>
    <row r="51" spans="1:33" ht="48" customHeight="1" x14ac:dyDescent="0.2">
      <c r="A51" s="6">
        <v>1</v>
      </c>
      <c r="B51" s="6" t="s">
        <v>27</v>
      </c>
      <c r="C51" s="6">
        <v>5</v>
      </c>
      <c r="D51" s="6" t="s">
        <v>114</v>
      </c>
      <c r="E51" s="6" t="s">
        <v>115</v>
      </c>
      <c r="F51" s="6" t="s">
        <v>116</v>
      </c>
      <c r="G51" s="6" t="s">
        <v>117</v>
      </c>
      <c r="H51" s="6" t="s">
        <v>118</v>
      </c>
      <c r="I51" s="7">
        <v>2020051290045</v>
      </c>
      <c r="J51" s="6">
        <v>1</v>
      </c>
      <c r="K51" s="6">
        <v>1511</v>
      </c>
      <c r="L51" s="6" t="s">
        <v>119</v>
      </c>
      <c r="M51" s="6" t="s">
        <v>34</v>
      </c>
      <c r="N51" s="9" t="s">
        <v>35</v>
      </c>
      <c r="O51" s="6" t="s">
        <v>677</v>
      </c>
      <c r="P51" s="6" t="s">
        <v>52</v>
      </c>
      <c r="Q51" s="6">
        <v>1</v>
      </c>
      <c r="R51" s="21">
        <f t="shared" si="0"/>
        <v>16630768</v>
      </c>
      <c r="S51" s="21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16630768</v>
      </c>
      <c r="AE51" s="20">
        <v>0</v>
      </c>
      <c r="AF51" s="20">
        <v>0</v>
      </c>
      <c r="AG51" s="20">
        <v>0</v>
      </c>
    </row>
    <row r="52" spans="1:33" ht="48" customHeight="1" x14ac:dyDescent="0.2">
      <c r="A52" s="6">
        <v>1</v>
      </c>
      <c r="B52" s="6" t="s">
        <v>27</v>
      </c>
      <c r="C52" s="6">
        <v>5</v>
      </c>
      <c r="D52" s="6" t="s">
        <v>114</v>
      </c>
      <c r="E52" s="6" t="s">
        <v>115</v>
      </c>
      <c r="F52" s="6" t="s">
        <v>116</v>
      </c>
      <c r="G52" s="6" t="s">
        <v>117</v>
      </c>
      <c r="H52" s="6" t="s">
        <v>118</v>
      </c>
      <c r="I52" s="7">
        <v>2020051290045</v>
      </c>
      <c r="J52" s="6">
        <v>1</v>
      </c>
      <c r="K52" s="6">
        <v>1511</v>
      </c>
      <c r="L52" s="6" t="s">
        <v>119</v>
      </c>
      <c r="M52" s="6" t="s">
        <v>34</v>
      </c>
      <c r="N52" s="9" t="s">
        <v>35</v>
      </c>
      <c r="O52" s="6" t="s">
        <v>677</v>
      </c>
      <c r="P52" s="6" t="s">
        <v>37</v>
      </c>
      <c r="Q52" s="6">
        <v>1</v>
      </c>
      <c r="R52" s="21">
        <f t="shared" si="0"/>
        <v>48369232</v>
      </c>
      <c r="S52" s="21">
        <v>0</v>
      </c>
      <c r="T52" s="20">
        <v>0</v>
      </c>
      <c r="U52" s="20">
        <v>0</v>
      </c>
      <c r="V52" s="20">
        <v>0</v>
      </c>
      <c r="W52" s="19">
        <v>48369232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</row>
    <row r="53" spans="1:33" ht="96" customHeight="1" x14ac:dyDescent="0.2">
      <c r="A53" s="6">
        <v>1</v>
      </c>
      <c r="B53" s="6" t="s">
        <v>27</v>
      </c>
      <c r="C53" s="6">
        <v>5</v>
      </c>
      <c r="D53" s="6" t="s">
        <v>114</v>
      </c>
      <c r="E53" s="6" t="s">
        <v>115</v>
      </c>
      <c r="F53" s="6" t="s">
        <v>116</v>
      </c>
      <c r="G53" s="6" t="s">
        <v>117</v>
      </c>
      <c r="H53" s="6" t="s">
        <v>118</v>
      </c>
      <c r="I53" s="7">
        <v>2020051290045</v>
      </c>
      <c r="J53" s="6">
        <v>2</v>
      </c>
      <c r="K53" s="6">
        <v>1512</v>
      </c>
      <c r="L53" s="6" t="s">
        <v>121</v>
      </c>
      <c r="M53" s="6" t="s">
        <v>34</v>
      </c>
      <c r="N53" s="9" t="s">
        <v>35</v>
      </c>
      <c r="O53" s="6" t="s">
        <v>677</v>
      </c>
      <c r="P53" s="6" t="s">
        <v>52</v>
      </c>
      <c r="Q53" s="6">
        <v>1</v>
      </c>
      <c r="R53" s="21">
        <f t="shared" si="0"/>
        <v>22369232</v>
      </c>
      <c r="S53" s="21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f>51413490-9044258-20000000</f>
        <v>22369232</v>
      </c>
      <c r="AE53" s="20">
        <v>0</v>
      </c>
      <c r="AF53" s="20">
        <v>0</v>
      </c>
      <c r="AG53" s="20">
        <v>0</v>
      </c>
    </row>
    <row r="54" spans="1:33" ht="63.75" customHeight="1" x14ac:dyDescent="0.2">
      <c r="A54" s="6">
        <v>1</v>
      </c>
      <c r="B54" s="6" t="s">
        <v>27</v>
      </c>
      <c r="C54" s="6">
        <v>5</v>
      </c>
      <c r="D54" s="6" t="s">
        <v>114</v>
      </c>
      <c r="E54" s="6" t="s">
        <v>115</v>
      </c>
      <c r="F54" s="6" t="s">
        <v>116</v>
      </c>
      <c r="G54" s="6" t="s">
        <v>117</v>
      </c>
      <c r="H54" s="6" t="s">
        <v>118</v>
      </c>
      <c r="I54" s="7">
        <v>2020051290045</v>
      </c>
      <c r="J54" s="6">
        <v>3</v>
      </c>
      <c r="K54" s="6">
        <v>1513</v>
      </c>
      <c r="L54" s="6" t="s">
        <v>122</v>
      </c>
      <c r="M54" s="6" t="s">
        <v>34</v>
      </c>
      <c r="N54" s="9" t="s">
        <v>35</v>
      </c>
      <c r="O54" s="6" t="s">
        <v>677</v>
      </c>
      <c r="P54" s="6" t="s">
        <v>52</v>
      </c>
      <c r="Q54" s="6">
        <v>1</v>
      </c>
      <c r="R54" s="21">
        <f t="shared" si="0"/>
        <v>12000000</v>
      </c>
      <c r="S54" s="21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19">
        <v>12000000</v>
      </c>
      <c r="AE54" s="20">
        <v>0</v>
      </c>
      <c r="AF54" s="20">
        <v>0</v>
      </c>
      <c r="AG54" s="20">
        <v>0</v>
      </c>
    </row>
    <row r="55" spans="1:33" ht="63.75" customHeight="1" x14ac:dyDescent="0.2">
      <c r="A55" s="6">
        <v>1</v>
      </c>
      <c r="B55" s="6" t="s">
        <v>27</v>
      </c>
      <c r="C55" s="6">
        <v>5</v>
      </c>
      <c r="D55" s="6" t="s">
        <v>114</v>
      </c>
      <c r="E55" s="6" t="s">
        <v>115</v>
      </c>
      <c r="F55" s="6" t="s">
        <v>116</v>
      </c>
      <c r="G55" s="6" t="s">
        <v>117</v>
      </c>
      <c r="H55" s="6" t="s">
        <v>118</v>
      </c>
      <c r="I55" s="7">
        <v>2020051290045</v>
      </c>
      <c r="J55" s="6">
        <v>3</v>
      </c>
      <c r="K55" s="6">
        <v>1513</v>
      </c>
      <c r="L55" s="6" t="s">
        <v>122</v>
      </c>
      <c r="M55" s="6" t="s">
        <v>34</v>
      </c>
      <c r="N55" s="9" t="s">
        <v>35</v>
      </c>
      <c r="O55" s="6" t="s">
        <v>677</v>
      </c>
      <c r="P55" s="6" t="s">
        <v>52</v>
      </c>
      <c r="Q55" s="6">
        <v>1</v>
      </c>
      <c r="R55" s="21">
        <f t="shared" si="0"/>
        <v>10000000</v>
      </c>
      <c r="S55" s="21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19">
        <v>10000000</v>
      </c>
      <c r="AE55" s="20">
        <v>0</v>
      </c>
      <c r="AF55" s="20">
        <v>0</v>
      </c>
      <c r="AG55" s="20">
        <v>0</v>
      </c>
    </row>
    <row r="56" spans="1:33" ht="45" customHeight="1" x14ac:dyDescent="0.2">
      <c r="A56" s="6">
        <v>1</v>
      </c>
      <c r="B56" s="6" t="s">
        <v>27</v>
      </c>
      <c r="C56" s="6">
        <v>6</v>
      </c>
      <c r="D56" s="6" t="s">
        <v>123</v>
      </c>
      <c r="E56" s="6" t="s">
        <v>124</v>
      </c>
      <c r="F56" s="6" t="s">
        <v>125</v>
      </c>
      <c r="G56" s="6" t="s">
        <v>126</v>
      </c>
      <c r="H56" s="6" t="s">
        <v>127</v>
      </c>
      <c r="I56" s="7">
        <v>2020051290052</v>
      </c>
      <c r="J56" s="6">
        <v>1</v>
      </c>
      <c r="K56" s="6">
        <v>1611</v>
      </c>
      <c r="L56" s="6" t="s">
        <v>128</v>
      </c>
      <c r="M56" s="6" t="s">
        <v>34</v>
      </c>
      <c r="N56" s="9" t="s">
        <v>35</v>
      </c>
      <c r="O56" s="6" t="s">
        <v>36</v>
      </c>
      <c r="P56" s="6" t="s">
        <v>52</v>
      </c>
      <c r="Q56" s="6">
        <v>1</v>
      </c>
      <c r="R56" s="21">
        <f t="shared" si="0"/>
        <v>8939572</v>
      </c>
      <c r="S56" s="21">
        <v>0</v>
      </c>
      <c r="T56" s="16">
        <v>0</v>
      </c>
      <c r="U56" s="16">
        <v>0</v>
      </c>
      <c r="V56" s="20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f>11000000-2060428</f>
        <v>8939572</v>
      </c>
      <c r="AE56" s="16">
        <v>0</v>
      </c>
      <c r="AF56" s="16">
        <v>0</v>
      </c>
      <c r="AG56" s="16">
        <v>0</v>
      </c>
    </row>
    <row r="57" spans="1:33" ht="45" customHeight="1" x14ac:dyDescent="0.2">
      <c r="A57" s="6">
        <v>1</v>
      </c>
      <c r="B57" s="6" t="s">
        <v>27</v>
      </c>
      <c r="C57" s="6">
        <v>6</v>
      </c>
      <c r="D57" s="6" t="s">
        <v>123</v>
      </c>
      <c r="E57" s="6" t="s">
        <v>124</v>
      </c>
      <c r="F57" s="6" t="s">
        <v>125</v>
      </c>
      <c r="G57" s="6" t="s">
        <v>126</v>
      </c>
      <c r="H57" s="6" t="s">
        <v>127</v>
      </c>
      <c r="I57" s="7">
        <v>2020051290052</v>
      </c>
      <c r="J57" s="6">
        <v>1</v>
      </c>
      <c r="K57" s="6">
        <v>1611</v>
      </c>
      <c r="L57" s="6" t="s">
        <v>128</v>
      </c>
      <c r="M57" s="6" t="s">
        <v>34</v>
      </c>
      <c r="N57" s="9" t="s">
        <v>35</v>
      </c>
      <c r="O57" s="6" t="s">
        <v>36</v>
      </c>
      <c r="P57" s="6" t="s">
        <v>37</v>
      </c>
      <c r="Q57" s="6">
        <v>1</v>
      </c>
      <c r="R57" s="21">
        <f t="shared" si="0"/>
        <v>15536250</v>
      </c>
      <c r="S57" s="21">
        <v>0</v>
      </c>
      <c r="T57" s="16">
        <v>0</v>
      </c>
      <c r="U57" s="16">
        <v>0</v>
      </c>
      <c r="V57" s="20">
        <v>0</v>
      </c>
      <c r="W57" s="16">
        <f>4606250+10930000</f>
        <v>15536250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6">
        <v>0</v>
      </c>
      <c r="AG57" s="16">
        <v>0</v>
      </c>
    </row>
    <row r="58" spans="1:33" ht="45" customHeight="1" x14ac:dyDescent="0.2">
      <c r="A58" s="6">
        <v>1</v>
      </c>
      <c r="B58" s="6" t="s">
        <v>27</v>
      </c>
      <c r="C58" s="6">
        <v>6</v>
      </c>
      <c r="D58" s="6" t="s">
        <v>123</v>
      </c>
      <c r="E58" s="6" t="s">
        <v>124</v>
      </c>
      <c r="F58" s="6" t="s">
        <v>125</v>
      </c>
      <c r="G58" s="6" t="s">
        <v>126</v>
      </c>
      <c r="H58" s="6" t="s">
        <v>127</v>
      </c>
      <c r="I58" s="7">
        <v>2020051290052</v>
      </c>
      <c r="J58" s="6">
        <v>1</v>
      </c>
      <c r="K58" s="6">
        <v>1611</v>
      </c>
      <c r="L58" s="6" t="s">
        <v>128</v>
      </c>
      <c r="M58" s="6" t="s">
        <v>34</v>
      </c>
      <c r="N58" s="9" t="s">
        <v>35</v>
      </c>
      <c r="O58" s="6" t="s">
        <v>36</v>
      </c>
      <c r="P58" s="6" t="s">
        <v>52</v>
      </c>
      <c r="Q58" s="6">
        <v>1</v>
      </c>
      <c r="R58" s="21">
        <f t="shared" si="0"/>
        <v>9939572</v>
      </c>
      <c r="S58" s="21">
        <v>0</v>
      </c>
      <c r="T58" s="16">
        <v>0</v>
      </c>
      <c r="U58" s="16">
        <v>0</v>
      </c>
      <c r="V58" s="20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f>12000000-2060428</f>
        <v>9939572</v>
      </c>
      <c r="AE58" s="17">
        <v>0</v>
      </c>
      <c r="AF58" s="16">
        <v>0</v>
      </c>
      <c r="AG58" s="16">
        <v>0</v>
      </c>
    </row>
    <row r="59" spans="1:33" ht="48.75" customHeight="1" x14ac:dyDescent="0.2">
      <c r="A59" s="6">
        <v>1</v>
      </c>
      <c r="B59" s="6" t="s">
        <v>27</v>
      </c>
      <c r="C59" s="6">
        <v>6</v>
      </c>
      <c r="D59" s="6" t="s">
        <v>123</v>
      </c>
      <c r="E59" s="6" t="s">
        <v>124</v>
      </c>
      <c r="F59" s="6" t="s">
        <v>125</v>
      </c>
      <c r="G59" s="6" t="s">
        <v>126</v>
      </c>
      <c r="H59" s="6" t="s">
        <v>127</v>
      </c>
      <c r="I59" s="7">
        <v>2020051290052</v>
      </c>
      <c r="J59" s="6">
        <v>2</v>
      </c>
      <c r="K59" s="6">
        <v>1612</v>
      </c>
      <c r="L59" s="6" t="s">
        <v>129</v>
      </c>
      <c r="M59" s="6" t="s">
        <v>34</v>
      </c>
      <c r="N59" s="9" t="s">
        <v>35</v>
      </c>
      <c r="O59" s="6" t="s">
        <v>36</v>
      </c>
      <c r="P59" s="6" t="s">
        <v>37</v>
      </c>
      <c r="Q59" s="6">
        <v>1</v>
      </c>
      <c r="R59" s="21">
        <f t="shared" si="0"/>
        <v>13176250</v>
      </c>
      <c r="S59" s="21">
        <v>0</v>
      </c>
      <c r="T59" s="16">
        <v>0</v>
      </c>
      <c r="U59" s="16">
        <v>0</v>
      </c>
      <c r="V59" s="20">
        <v>0</v>
      </c>
      <c r="W59" s="16">
        <f>4606250+8570000</f>
        <v>13176250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</row>
    <row r="60" spans="1:33" ht="30" customHeight="1" x14ac:dyDescent="0.2">
      <c r="A60" s="6">
        <v>1</v>
      </c>
      <c r="B60" s="6" t="s">
        <v>27</v>
      </c>
      <c r="C60" s="6">
        <v>7</v>
      </c>
      <c r="D60" s="6" t="s">
        <v>130</v>
      </c>
      <c r="E60" s="6" t="s">
        <v>131</v>
      </c>
      <c r="F60" s="6" t="s">
        <v>132</v>
      </c>
      <c r="G60" s="6" t="s">
        <v>133</v>
      </c>
      <c r="H60" s="6" t="s">
        <v>134</v>
      </c>
      <c r="I60" s="10">
        <v>2020051290018</v>
      </c>
      <c r="J60" s="6">
        <v>1</v>
      </c>
      <c r="K60" s="6">
        <v>1711</v>
      </c>
      <c r="L60" s="6" t="s">
        <v>135</v>
      </c>
      <c r="M60" s="6" t="s">
        <v>34</v>
      </c>
      <c r="N60" s="9" t="s">
        <v>35</v>
      </c>
      <c r="O60" s="6" t="s">
        <v>36</v>
      </c>
      <c r="P60" s="6" t="s">
        <v>37</v>
      </c>
      <c r="Q60" s="6">
        <v>2</v>
      </c>
      <c r="R60" s="21">
        <f t="shared" si="0"/>
        <v>9781250</v>
      </c>
      <c r="S60" s="21">
        <v>0</v>
      </c>
      <c r="T60" s="20">
        <v>0</v>
      </c>
      <c r="U60" s="20">
        <v>0</v>
      </c>
      <c r="V60" s="20">
        <v>0</v>
      </c>
      <c r="W60" s="20">
        <f>4606250+5175000</f>
        <v>9781250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</row>
    <row r="61" spans="1:33" ht="30" customHeight="1" x14ac:dyDescent="0.2">
      <c r="A61" s="6">
        <v>1</v>
      </c>
      <c r="B61" s="6" t="s">
        <v>27</v>
      </c>
      <c r="C61" s="6">
        <v>7</v>
      </c>
      <c r="D61" s="6" t="s">
        <v>130</v>
      </c>
      <c r="E61" s="6" t="s">
        <v>131</v>
      </c>
      <c r="F61" s="6" t="s">
        <v>132</v>
      </c>
      <c r="G61" s="6" t="s">
        <v>133</v>
      </c>
      <c r="H61" s="6" t="s">
        <v>134</v>
      </c>
      <c r="I61" s="10">
        <v>2020051290018</v>
      </c>
      <c r="J61" s="6">
        <v>2</v>
      </c>
      <c r="K61" s="6">
        <v>1712</v>
      </c>
      <c r="L61" s="6" t="s">
        <v>136</v>
      </c>
      <c r="M61" s="6" t="s">
        <v>34</v>
      </c>
      <c r="N61" s="9" t="s">
        <v>35</v>
      </c>
      <c r="O61" s="6" t="s">
        <v>36</v>
      </c>
      <c r="P61" s="6" t="s">
        <v>37</v>
      </c>
      <c r="Q61" s="6">
        <v>1</v>
      </c>
      <c r="R61" s="21">
        <f t="shared" si="0"/>
        <v>14906250</v>
      </c>
      <c r="S61" s="21">
        <v>0</v>
      </c>
      <c r="T61" s="20">
        <v>0</v>
      </c>
      <c r="U61" s="20">
        <v>0</v>
      </c>
      <c r="V61" s="20">
        <v>0</v>
      </c>
      <c r="W61" s="20">
        <f>4606250+10300000</f>
        <v>14906250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</row>
    <row r="62" spans="1:33" ht="42.75" customHeight="1" x14ac:dyDescent="0.2">
      <c r="A62" s="6">
        <v>1</v>
      </c>
      <c r="B62" s="6" t="s">
        <v>27</v>
      </c>
      <c r="C62" s="6">
        <v>7</v>
      </c>
      <c r="D62" s="6" t="s">
        <v>130</v>
      </c>
      <c r="E62" s="6" t="s">
        <v>131</v>
      </c>
      <c r="F62" s="6" t="s">
        <v>132</v>
      </c>
      <c r="G62" s="6" t="s">
        <v>133</v>
      </c>
      <c r="H62" s="6" t="s">
        <v>134</v>
      </c>
      <c r="I62" s="10">
        <v>2020051290018</v>
      </c>
      <c r="J62" s="6">
        <v>3</v>
      </c>
      <c r="K62" s="6">
        <v>1713</v>
      </c>
      <c r="L62" s="6" t="s">
        <v>137</v>
      </c>
      <c r="M62" s="6" t="s">
        <v>34</v>
      </c>
      <c r="N62" s="9" t="s">
        <v>35</v>
      </c>
      <c r="O62" s="6" t="s">
        <v>36</v>
      </c>
      <c r="P62" s="6" t="s">
        <v>37</v>
      </c>
      <c r="Q62" s="6">
        <v>1</v>
      </c>
      <c r="R62" s="21">
        <f t="shared" si="0"/>
        <v>14606250</v>
      </c>
      <c r="S62" s="21">
        <v>0</v>
      </c>
      <c r="T62" s="20">
        <v>0</v>
      </c>
      <c r="U62" s="20">
        <v>0</v>
      </c>
      <c r="V62" s="20">
        <v>0</v>
      </c>
      <c r="W62" s="20">
        <f>4606250+10000000</f>
        <v>14606250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</row>
    <row r="63" spans="1:33" ht="46.5" customHeight="1" x14ac:dyDescent="0.2">
      <c r="A63" s="6">
        <v>1</v>
      </c>
      <c r="B63" s="6" t="s">
        <v>27</v>
      </c>
      <c r="C63" s="6">
        <v>7</v>
      </c>
      <c r="D63" s="6" t="s">
        <v>130</v>
      </c>
      <c r="E63" s="6" t="s">
        <v>131</v>
      </c>
      <c r="F63" s="6" t="s">
        <v>132</v>
      </c>
      <c r="G63" s="6" t="s">
        <v>133</v>
      </c>
      <c r="H63" s="6" t="s">
        <v>134</v>
      </c>
      <c r="I63" s="10">
        <v>2020051290018</v>
      </c>
      <c r="J63" s="6">
        <v>3</v>
      </c>
      <c r="K63" s="6">
        <v>1713</v>
      </c>
      <c r="L63" s="6" t="s">
        <v>137</v>
      </c>
      <c r="M63" s="6" t="s">
        <v>34</v>
      </c>
      <c r="N63" s="9" t="s">
        <v>35</v>
      </c>
      <c r="O63" s="6" t="s">
        <v>36</v>
      </c>
      <c r="P63" s="6" t="s">
        <v>52</v>
      </c>
      <c r="Q63" s="6">
        <v>1</v>
      </c>
      <c r="R63" s="21">
        <f t="shared" si="0"/>
        <v>10074611</v>
      </c>
      <c r="S63" s="21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f>12135043-2060428-4</f>
        <v>10074611</v>
      </c>
      <c r="AE63" s="20">
        <v>0</v>
      </c>
      <c r="AF63" s="20">
        <v>0</v>
      </c>
      <c r="AG63" s="20">
        <v>0</v>
      </c>
    </row>
    <row r="64" spans="1:33" ht="57" customHeight="1" x14ac:dyDescent="0.2">
      <c r="A64" s="6">
        <v>1</v>
      </c>
      <c r="B64" s="6" t="s">
        <v>27</v>
      </c>
      <c r="C64" s="6">
        <v>8</v>
      </c>
      <c r="D64" s="6" t="s">
        <v>138</v>
      </c>
      <c r="E64" s="6" t="s">
        <v>139</v>
      </c>
      <c r="F64" s="6" t="s">
        <v>140</v>
      </c>
      <c r="G64" s="6" t="s">
        <v>66</v>
      </c>
      <c r="H64" s="6" t="s">
        <v>141</v>
      </c>
      <c r="I64" s="7">
        <v>2020051290036</v>
      </c>
      <c r="J64" s="6">
        <v>8</v>
      </c>
      <c r="K64" s="6">
        <v>1818</v>
      </c>
      <c r="L64" s="6" t="s">
        <v>142</v>
      </c>
      <c r="M64" s="6" t="s">
        <v>34</v>
      </c>
      <c r="N64" s="9" t="s">
        <v>35</v>
      </c>
      <c r="O64" s="6" t="s">
        <v>682</v>
      </c>
      <c r="P64" s="6" t="s">
        <v>37</v>
      </c>
      <c r="Q64" s="6">
        <v>1</v>
      </c>
      <c r="R64" s="21">
        <f t="shared" si="0"/>
        <v>43005123</v>
      </c>
      <c r="S64" s="21">
        <v>0</v>
      </c>
      <c r="T64" s="16">
        <v>0</v>
      </c>
      <c r="U64" s="16">
        <v>0</v>
      </c>
      <c r="V64" s="20">
        <v>0</v>
      </c>
      <c r="W64" s="16">
        <f>28551260+14453863</f>
        <v>43005123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</row>
    <row r="65" spans="1:33" ht="30" customHeight="1" x14ac:dyDescent="0.2">
      <c r="A65" s="6">
        <v>1</v>
      </c>
      <c r="B65" s="6" t="s">
        <v>27</v>
      </c>
      <c r="C65" s="6">
        <v>8</v>
      </c>
      <c r="D65" s="6" t="s">
        <v>138</v>
      </c>
      <c r="E65" s="6" t="s">
        <v>139</v>
      </c>
      <c r="F65" s="6" t="s">
        <v>140</v>
      </c>
      <c r="G65" s="6" t="s">
        <v>66</v>
      </c>
      <c r="H65" s="6" t="s">
        <v>144</v>
      </c>
      <c r="I65" s="7">
        <v>2020051290035</v>
      </c>
      <c r="J65" s="6">
        <v>1</v>
      </c>
      <c r="K65" s="6">
        <v>1811</v>
      </c>
      <c r="L65" s="6" t="s">
        <v>145</v>
      </c>
      <c r="M65" s="6" t="s">
        <v>34</v>
      </c>
      <c r="N65" s="9" t="s">
        <v>35</v>
      </c>
      <c r="O65" s="6" t="s">
        <v>65</v>
      </c>
      <c r="P65" s="6" t="s">
        <v>52</v>
      </c>
      <c r="Q65" s="6">
        <v>1</v>
      </c>
      <c r="R65" s="21">
        <f t="shared" ref="R65:R110" si="1">SUM(S65:AG65)</f>
        <v>222158906</v>
      </c>
      <c r="S65" s="21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8">
        <f>328684106-17650200-88875000</f>
        <v>222158906</v>
      </c>
      <c r="AE65" s="20">
        <v>0</v>
      </c>
      <c r="AF65" s="20">
        <v>0</v>
      </c>
      <c r="AG65" s="20">
        <v>0</v>
      </c>
    </row>
    <row r="66" spans="1:33" ht="30" customHeight="1" x14ac:dyDescent="0.2">
      <c r="A66" s="6">
        <v>1</v>
      </c>
      <c r="B66" s="6" t="s">
        <v>27</v>
      </c>
      <c r="C66" s="6">
        <v>8</v>
      </c>
      <c r="D66" s="6" t="s">
        <v>138</v>
      </c>
      <c r="E66" s="6" t="s">
        <v>139</v>
      </c>
      <c r="F66" s="6" t="s">
        <v>140</v>
      </c>
      <c r="G66" s="6" t="s">
        <v>66</v>
      </c>
      <c r="H66" s="6" t="s">
        <v>144</v>
      </c>
      <c r="I66" s="7">
        <v>2020051290035</v>
      </c>
      <c r="J66" s="6">
        <v>1</v>
      </c>
      <c r="K66" s="6">
        <v>1811</v>
      </c>
      <c r="L66" s="6" t="s">
        <v>145</v>
      </c>
      <c r="M66" s="6" t="s">
        <v>34</v>
      </c>
      <c r="N66" s="9" t="s">
        <v>35</v>
      </c>
      <c r="O66" s="6" t="s">
        <v>65</v>
      </c>
      <c r="P66" s="6" t="s">
        <v>37</v>
      </c>
      <c r="Q66" s="6">
        <v>1</v>
      </c>
      <c r="R66" s="21">
        <f t="shared" si="1"/>
        <v>200322162</v>
      </c>
      <c r="S66" s="21">
        <v>0</v>
      </c>
      <c r="T66" s="20">
        <v>0</v>
      </c>
      <c r="U66" s="20">
        <v>0</v>
      </c>
      <c r="V66" s="20">
        <v>0</v>
      </c>
      <c r="W66" s="8">
        <v>200322162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</row>
    <row r="67" spans="1:33" ht="30" customHeight="1" x14ac:dyDescent="0.2">
      <c r="A67" s="6">
        <v>1</v>
      </c>
      <c r="B67" s="6" t="s">
        <v>27</v>
      </c>
      <c r="C67" s="6">
        <v>8</v>
      </c>
      <c r="D67" s="6" t="s">
        <v>138</v>
      </c>
      <c r="E67" s="6" t="s">
        <v>139</v>
      </c>
      <c r="F67" s="6" t="s">
        <v>140</v>
      </c>
      <c r="G67" s="6" t="s">
        <v>66</v>
      </c>
      <c r="H67" s="6" t="s">
        <v>144</v>
      </c>
      <c r="I67" s="7">
        <v>2020051290035</v>
      </c>
      <c r="J67" s="6">
        <v>1</v>
      </c>
      <c r="K67" s="6">
        <v>1811</v>
      </c>
      <c r="L67" s="6" t="s">
        <v>145</v>
      </c>
      <c r="M67" s="6" t="s">
        <v>34</v>
      </c>
      <c r="N67" s="9" t="s">
        <v>35</v>
      </c>
      <c r="O67" s="6" t="s">
        <v>65</v>
      </c>
      <c r="P67" s="6" t="s">
        <v>37</v>
      </c>
      <c r="Q67" s="6">
        <v>1</v>
      </c>
      <c r="R67" s="21">
        <f t="shared" si="1"/>
        <v>273059551</v>
      </c>
      <c r="S67" s="21">
        <v>0</v>
      </c>
      <c r="T67" s="20">
        <v>0</v>
      </c>
      <c r="U67" s="20">
        <v>0</v>
      </c>
      <c r="V67" s="20">
        <v>0</v>
      </c>
      <c r="W67" s="20">
        <v>273059551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</row>
    <row r="68" spans="1:33" ht="45" customHeight="1" x14ac:dyDescent="0.2">
      <c r="A68" s="6">
        <v>1</v>
      </c>
      <c r="B68" s="6" t="s">
        <v>27</v>
      </c>
      <c r="C68" s="6">
        <v>8</v>
      </c>
      <c r="D68" s="6" t="s">
        <v>138</v>
      </c>
      <c r="E68" s="6" t="s">
        <v>139</v>
      </c>
      <c r="F68" s="6" t="s">
        <v>140</v>
      </c>
      <c r="G68" s="6" t="s">
        <v>66</v>
      </c>
      <c r="H68" s="6" t="s">
        <v>144</v>
      </c>
      <c r="I68" s="7">
        <v>2020051290035</v>
      </c>
      <c r="J68" s="6">
        <v>1</v>
      </c>
      <c r="K68" s="6">
        <v>1811</v>
      </c>
      <c r="L68" s="6" t="s">
        <v>145</v>
      </c>
      <c r="M68" s="6" t="s">
        <v>34</v>
      </c>
      <c r="N68" s="9" t="s">
        <v>35</v>
      </c>
      <c r="O68" s="6" t="s">
        <v>65</v>
      </c>
      <c r="P68" s="6" t="s">
        <v>37</v>
      </c>
      <c r="Q68" s="6">
        <v>1</v>
      </c>
      <c r="R68" s="21">
        <f t="shared" si="1"/>
        <v>249749950</v>
      </c>
      <c r="S68" s="21">
        <v>0</v>
      </c>
      <c r="T68" s="20">
        <v>0</v>
      </c>
      <c r="U68" s="20">
        <v>0</v>
      </c>
      <c r="V68" s="20">
        <v>0</v>
      </c>
      <c r="W68" s="20">
        <v>249749950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</row>
    <row r="69" spans="1:33" ht="45" customHeight="1" x14ac:dyDescent="0.2">
      <c r="A69" s="6">
        <v>1</v>
      </c>
      <c r="B69" s="6" t="s">
        <v>27</v>
      </c>
      <c r="C69" s="6">
        <v>8</v>
      </c>
      <c r="D69" s="6" t="s">
        <v>138</v>
      </c>
      <c r="E69" s="6" t="s">
        <v>139</v>
      </c>
      <c r="F69" s="6" t="s">
        <v>140</v>
      </c>
      <c r="G69" s="6" t="s">
        <v>66</v>
      </c>
      <c r="H69" s="6" t="s">
        <v>144</v>
      </c>
      <c r="I69" s="7">
        <v>2020051290035</v>
      </c>
      <c r="J69" s="6">
        <v>2</v>
      </c>
      <c r="K69" s="6">
        <v>1812</v>
      </c>
      <c r="L69" s="6" t="s">
        <v>146</v>
      </c>
      <c r="M69" s="6" t="s">
        <v>34</v>
      </c>
      <c r="N69" s="9" t="s">
        <v>35</v>
      </c>
      <c r="O69" s="6" t="s">
        <v>65</v>
      </c>
      <c r="P69" s="6" t="s">
        <v>37</v>
      </c>
      <c r="Q69" s="6">
        <v>4</v>
      </c>
      <c r="R69" s="21">
        <f t="shared" si="1"/>
        <v>90000000</v>
      </c>
      <c r="S69" s="21">
        <v>0</v>
      </c>
      <c r="T69" s="20">
        <v>0</v>
      </c>
      <c r="U69" s="20">
        <v>0</v>
      </c>
      <c r="V69" s="20">
        <v>0</v>
      </c>
      <c r="W69" s="20">
        <v>90000000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</row>
    <row r="70" spans="1:33" ht="45" customHeight="1" x14ac:dyDescent="0.2">
      <c r="A70" s="6">
        <v>1</v>
      </c>
      <c r="B70" s="6" t="s">
        <v>27</v>
      </c>
      <c r="C70" s="6">
        <v>8</v>
      </c>
      <c r="D70" s="6" t="s">
        <v>138</v>
      </c>
      <c r="E70" s="6" t="s">
        <v>139</v>
      </c>
      <c r="F70" s="6" t="s">
        <v>140</v>
      </c>
      <c r="G70" s="6" t="s">
        <v>66</v>
      </c>
      <c r="H70" s="6" t="s">
        <v>144</v>
      </c>
      <c r="I70" s="7">
        <v>2020051290035</v>
      </c>
      <c r="J70" s="6">
        <v>3</v>
      </c>
      <c r="K70" s="6">
        <v>1813</v>
      </c>
      <c r="L70" s="6" t="s">
        <v>147</v>
      </c>
      <c r="M70" s="6" t="s">
        <v>34</v>
      </c>
      <c r="N70" s="9" t="s">
        <v>35</v>
      </c>
      <c r="O70" s="6" t="s">
        <v>65</v>
      </c>
      <c r="P70" s="6" t="s">
        <v>37</v>
      </c>
      <c r="Q70" s="6">
        <v>1</v>
      </c>
      <c r="R70" s="21">
        <f t="shared" si="1"/>
        <v>250000000</v>
      </c>
      <c r="S70" s="21">
        <v>0</v>
      </c>
      <c r="T70" s="20">
        <v>0</v>
      </c>
      <c r="U70" s="20">
        <v>0</v>
      </c>
      <c r="V70" s="20">
        <v>0</v>
      </c>
      <c r="W70" s="20">
        <v>250000000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</row>
    <row r="71" spans="1:33" ht="45" customHeight="1" x14ac:dyDescent="0.2">
      <c r="A71" s="6">
        <v>1</v>
      </c>
      <c r="B71" s="6" t="s">
        <v>27</v>
      </c>
      <c r="C71" s="6">
        <v>8</v>
      </c>
      <c r="D71" s="6" t="s">
        <v>138</v>
      </c>
      <c r="E71" s="6" t="s">
        <v>139</v>
      </c>
      <c r="F71" s="6" t="s">
        <v>140</v>
      </c>
      <c r="G71" s="6" t="s">
        <v>66</v>
      </c>
      <c r="H71" s="6" t="s">
        <v>144</v>
      </c>
      <c r="I71" s="7">
        <v>2020051290035</v>
      </c>
      <c r="J71" s="6">
        <v>4</v>
      </c>
      <c r="K71" s="6">
        <v>1814</v>
      </c>
      <c r="L71" s="6" t="s">
        <v>148</v>
      </c>
      <c r="M71" s="6" t="s">
        <v>34</v>
      </c>
      <c r="N71" s="9" t="s">
        <v>35</v>
      </c>
      <c r="O71" s="6" t="s">
        <v>65</v>
      </c>
      <c r="P71" s="6" t="s">
        <v>37</v>
      </c>
      <c r="Q71" s="6">
        <v>1</v>
      </c>
      <c r="R71" s="21">
        <f t="shared" si="1"/>
        <v>220000000</v>
      </c>
      <c r="S71" s="21">
        <v>0</v>
      </c>
      <c r="T71" s="20">
        <v>0</v>
      </c>
      <c r="U71" s="20">
        <v>0</v>
      </c>
      <c r="V71" s="20">
        <v>0</v>
      </c>
      <c r="W71" s="20">
        <v>220000000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</row>
    <row r="72" spans="1:33" ht="30" customHeight="1" x14ac:dyDescent="0.2">
      <c r="A72" s="6">
        <v>1</v>
      </c>
      <c r="B72" s="6" t="s">
        <v>27</v>
      </c>
      <c r="C72" s="6">
        <v>8</v>
      </c>
      <c r="D72" s="6" t="s">
        <v>138</v>
      </c>
      <c r="E72" s="6" t="s">
        <v>139</v>
      </c>
      <c r="F72" s="6" t="s">
        <v>140</v>
      </c>
      <c r="G72" s="6" t="s">
        <v>66</v>
      </c>
      <c r="H72" s="6" t="s">
        <v>676</v>
      </c>
      <c r="I72" s="7">
        <v>2020051290036</v>
      </c>
      <c r="J72" s="6">
        <v>5</v>
      </c>
      <c r="K72" s="6">
        <v>1815</v>
      </c>
      <c r="L72" s="6" t="s">
        <v>149</v>
      </c>
      <c r="M72" s="6" t="s">
        <v>34</v>
      </c>
      <c r="N72" s="9" t="s">
        <v>35</v>
      </c>
      <c r="O72" s="6" t="s">
        <v>65</v>
      </c>
      <c r="P72" s="6" t="s">
        <v>37</v>
      </c>
      <c r="Q72" s="6">
        <v>1</v>
      </c>
      <c r="R72" s="21">
        <f t="shared" si="1"/>
        <v>278928707</v>
      </c>
      <c r="S72" s="21">
        <v>0</v>
      </c>
      <c r="T72" s="20">
        <v>0</v>
      </c>
      <c r="U72" s="20">
        <v>0</v>
      </c>
      <c r="V72" s="20">
        <v>0</v>
      </c>
      <c r="W72" s="20">
        <f>234875423+44053284</f>
        <v>278928707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</row>
    <row r="73" spans="1:33" ht="30" customHeight="1" x14ac:dyDescent="0.2">
      <c r="A73" s="6">
        <v>1</v>
      </c>
      <c r="B73" s="6" t="s">
        <v>27</v>
      </c>
      <c r="C73" s="6">
        <v>8</v>
      </c>
      <c r="D73" s="6" t="s">
        <v>138</v>
      </c>
      <c r="E73" s="6" t="s">
        <v>139</v>
      </c>
      <c r="F73" s="6" t="s">
        <v>140</v>
      </c>
      <c r="G73" s="6" t="s">
        <v>66</v>
      </c>
      <c r="H73" s="6" t="s">
        <v>676</v>
      </c>
      <c r="I73" s="7">
        <v>2020051290036</v>
      </c>
      <c r="J73" s="6">
        <v>5</v>
      </c>
      <c r="K73" s="6">
        <v>1815</v>
      </c>
      <c r="L73" s="6" t="s">
        <v>149</v>
      </c>
      <c r="M73" s="6" t="s">
        <v>34</v>
      </c>
      <c r="N73" s="9" t="s">
        <v>35</v>
      </c>
      <c r="O73" s="6" t="s">
        <v>65</v>
      </c>
      <c r="P73" s="6" t="s">
        <v>52</v>
      </c>
      <c r="Q73" s="6">
        <v>1</v>
      </c>
      <c r="R73" s="21">
        <f t="shared" si="1"/>
        <v>260000000</v>
      </c>
      <c r="S73" s="21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8">
        <v>260000000</v>
      </c>
      <c r="AE73" s="20">
        <v>0</v>
      </c>
      <c r="AF73" s="20">
        <v>0</v>
      </c>
      <c r="AG73" s="20">
        <v>0</v>
      </c>
    </row>
    <row r="74" spans="1:33" ht="30" customHeight="1" x14ac:dyDescent="0.2">
      <c r="A74" s="6">
        <v>1</v>
      </c>
      <c r="B74" s="6" t="s">
        <v>27</v>
      </c>
      <c r="C74" s="6">
        <v>8</v>
      </c>
      <c r="D74" s="6" t="s">
        <v>138</v>
      </c>
      <c r="E74" s="6" t="s">
        <v>139</v>
      </c>
      <c r="F74" s="6" t="s">
        <v>140</v>
      </c>
      <c r="G74" s="6" t="s">
        <v>66</v>
      </c>
      <c r="H74" s="6" t="s">
        <v>676</v>
      </c>
      <c r="I74" s="7">
        <v>2020051290036</v>
      </c>
      <c r="J74" s="6">
        <v>6</v>
      </c>
      <c r="K74" s="6">
        <v>1816</v>
      </c>
      <c r="L74" s="6" t="s">
        <v>150</v>
      </c>
      <c r="M74" s="6" t="s">
        <v>34</v>
      </c>
      <c r="N74" s="9" t="s">
        <v>35</v>
      </c>
      <c r="O74" s="6" t="s">
        <v>65</v>
      </c>
      <c r="P74" s="6" t="s">
        <v>37</v>
      </c>
      <c r="Q74" s="6">
        <v>1</v>
      </c>
      <c r="R74" s="21">
        <f t="shared" si="1"/>
        <v>65000000</v>
      </c>
      <c r="S74" s="21">
        <v>0</v>
      </c>
      <c r="T74" s="20">
        <v>0</v>
      </c>
      <c r="U74" s="20">
        <v>0</v>
      </c>
      <c r="V74" s="20">
        <v>0</v>
      </c>
      <c r="W74" s="20">
        <v>65000000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</row>
    <row r="75" spans="1:33" ht="30" customHeight="1" x14ac:dyDescent="0.2">
      <c r="A75" s="6">
        <v>1</v>
      </c>
      <c r="B75" s="6" t="s">
        <v>27</v>
      </c>
      <c r="C75" s="6">
        <v>8</v>
      </c>
      <c r="D75" s="6" t="s">
        <v>138</v>
      </c>
      <c r="E75" s="6" t="s">
        <v>139</v>
      </c>
      <c r="F75" s="6" t="s">
        <v>140</v>
      </c>
      <c r="G75" s="6" t="s">
        <v>66</v>
      </c>
      <c r="H75" s="6" t="s">
        <v>676</v>
      </c>
      <c r="I75" s="7">
        <v>2020051290036</v>
      </c>
      <c r="J75" s="6">
        <v>7</v>
      </c>
      <c r="K75" s="6">
        <v>1817</v>
      </c>
      <c r="L75" s="6" t="s">
        <v>151</v>
      </c>
      <c r="M75" s="6" t="s">
        <v>46</v>
      </c>
      <c r="N75" s="9" t="s">
        <v>152</v>
      </c>
      <c r="O75" s="6" t="s">
        <v>65</v>
      </c>
      <c r="P75" s="6" t="s">
        <v>37</v>
      </c>
      <c r="Q75" s="9">
        <v>1</v>
      </c>
      <c r="R75" s="21">
        <f t="shared" si="1"/>
        <v>180000000</v>
      </c>
      <c r="S75" s="21">
        <v>0</v>
      </c>
      <c r="T75" s="20">
        <v>0</v>
      </c>
      <c r="U75" s="20">
        <v>0</v>
      </c>
      <c r="V75" s="20">
        <v>0</v>
      </c>
      <c r="W75" s="20">
        <v>180000000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</row>
    <row r="76" spans="1:33" ht="45" customHeight="1" x14ac:dyDescent="0.2">
      <c r="A76" s="6">
        <v>1</v>
      </c>
      <c r="B76" s="6" t="s">
        <v>27</v>
      </c>
      <c r="C76" s="6">
        <v>9</v>
      </c>
      <c r="D76" s="6" t="s">
        <v>153</v>
      </c>
      <c r="E76" s="6" t="s">
        <v>154</v>
      </c>
      <c r="F76" s="6" t="s">
        <v>155</v>
      </c>
      <c r="G76" s="6" t="s">
        <v>156</v>
      </c>
      <c r="H76" s="6" t="s">
        <v>157</v>
      </c>
      <c r="I76" s="7">
        <v>2020051290029</v>
      </c>
      <c r="J76" s="6">
        <v>1</v>
      </c>
      <c r="K76" s="6">
        <v>1911</v>
      </c>
      <c r="L76" s="6" t="s">
        <v>158</v>
      </c>
      <c r="M76" s="6" t="s">
        <v>34</v>
      </c>
      <c r="N76" s="9" t="s">
        <v>35</v>
      </c>
      <c r="O76" s="6" t="s">
        <v>74</v>
      </c>
      <c r="P76" s="6" t="s">
        <v>37</v>
      </c>
      <c r="Q76" s="6">
        <v>1</v>
      </c>
      <c r="R76" s="21">
        <f t="shared" si="1"/>
        <v>116222653</v>
      </c>
      <c r="S76" s="21">
        <v>0</v>
      </c>
      <c r="T76" s="20">
        <v>0</v>
      </c>
      <c r="U76" s="20">
        <v>0</v>
      </c>
      <c r="V76" s="20">
        <v>0</v>
      </c>
      <c r="W76" s="20">
        <f>105000000+11222653</f>
        <v>116222653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</row>
    <row r="77" spans="1:33" ht="30" customHeight="1" x14ac:dyDescent="0.2">
      <c r="A77" s="6">
        <v>1</v>
      </c>
      <c r="B77" s="6" t="s">
        <v>27</v>
      </c>
      <c r="C77" s="6">
        <v>9</v>
      </c>
      <c r="D77" s="6" t="s">
        <v>153</v>
      </c>
      <c r="E77" s="6" t="s">
        <v>154</v>
      </c>
      <c r="F77" s="6" t="s">
        <v>155</v>
      </c>
      <c r="G77" s="6" t="s">
        <v>156</v>
      </c>
      <c r="H77" s="6" t="s">
        <v>159</v>
      </c>
      <c r="I77" s="7">
        <v>2020051290030</v>
      </c>
      <c r="J77" s="6">
        <v>2</v>
      </c>
      <c r="K77" s="6">
        <v>1912</v>
      </c>
      <c r="L77" s="6" t="s">
        <v>160</v>
      </c>
      <c r="M77" s="6" t="s">
        <v>34</v>
      </c>
      <c r="N77" s="9" t="s">
        <v>35</v>
      </c>
      <c r="O77" s="6" t="s">
        <v>74</v>
      </c>
      <c r="P77" s="6" t="s">
        <v>161</v>
      </c>
      <c r="Q77" s="6">
        <v>80</v>
      </c>
      <c r="R77" s="21">
        <f t="shared" si="1"/>
        <v>242000000</v>
      </c>
      <c r="S77" s="21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242000000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</row>
    <row r="78" spans="1:33" ht="30" customHeight="1" x14ac:dyDescent="0.2">
      <c r="A78" s="6">
        <v>1</v>
      </c>
      <c r="B78" s="6" t="s">
        <v>27</v>
      </c>
      <c r="C78" s="6">
        <v>9</v>
      </c>
      <c r="D78" s="6" t="s">
        <v>153</v>
      </c>
      <c r="E78" s="6" t="s">
        <v>154</v>
      </c>
      <c r="F78" s="6" t="s">
        <v>155</v>
      </c>
      <c r="G78" s="6" t="s">
        <v>156</v>
      </c>
      <c r="H78" s="6" t="s">
        <v>159</v>
      </c>
      <c r="I78" s="7">
        <v>2020051290030</v>
      </c>
      <c r="J78" s="6">
        <v>3</v>
      </c>
      <c r="K78" s="6">
        <v>1913</v>
      </c>
      <c r="L78" s="6" t="s">
        <v>162</v>
      </c>
      <c r="M78" s="6" t="s">
        <v>34</v>
      </c>
      <c r="N78" s="9" t="s">
        <v>35</v>
      </c>
      <c r="O78" s="6" t="s">
        <v>74</v>
      </c>
      <c r="P78" s="6" t="s">
        <v>37</v>
      </c>
      <c r="Q78" s="6">
        <v>8</v>
      </c>
      <c r="R78" s="21">
        <f t="shared" si="1"/>
        <v>45222653</v>
      </c>
      <c r="S78" s="21">
        <v>0</v>
      </c>
      <c r="T78" s="20">
        <v>0</v>
      </c>
      <c r="U78" s="20">
        <v>0</v>
      </c>
      <c r="V78" s="20">
        <v>0</v>
      </c>
      <c r="W78" s="20">
        <f>34000000+11222653</f>
        <v>45222653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</row>
    <row r="79" spans="1:33" ht="30" customHeight="1" x14ac:dyDescent="0.2">
      <c r="A79" s="6">
        <v>1</v>
      </c>
      <c r="B79" s="6" t="s">
        <v>27</v>
      </c>
      <c r="C79" s="6">
        <v>9</v>
      </c>
      <c r="D79" s="6" t="s">
        <v>153</v>
      </c>
      <c r="E79" s="6" t="s">
        <v>154</v>
      </c>
      <c r="F79" s="6" t="s">
        <v>155</v>
      </c>
      <c r="G79" s="6" t="s">
        <v>156</v>
      </c>
      <c r="H79" s="6" t="s">
        <v>159</v>
      </c>
      <c r="I79" s="7">
        <v>2020051290030</v>
      </c>
      <c r="J79" s="6">
        <v>4</v>
      </c>
      <c r="K79" s="6">
        <v>1914</v>
      </c>
      <c r="L79" s="6" t="s">
        <v>163</v>
      </c>
      <c r="M79" s="6" t="s">
        <v>34</v>
      </c>
      <c r="N79" s="9" t="s">
        <v>35</v>
      </c>
      <c r="O79" s="6" t="s">
        <v>74</v>
      </c>
      <c r="P79" s="6" t="s">
        <v>37</v>
      </c>
      <c r="Q79" s="6">
        <v>1</v>
      </c>
      <c r="R79" s="21">
        <f t="shared" si="1"/>
        <v>64332086</v>
      </c>
      <c r="S79" s="21">
        <v>0</v>
      </c>
      <c r="T79" s="20">
        <v>0</v>
      </c>
      <c r="U79" s="20">
        <v>0</v>
      </c>
      <c r="V79" s="20">
        <v>0</v>
      </c>
      <c r="W79" s="20">
        <f>16461992+36647441+11222653</f>
        <v>64332086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</row>
    <row r="80" spans="1:33" ht="30" customHeight="1" x14ac:dyDescent="0.2">
      <c r="A80" s="6">
        <v>1</v>
      </c>
      <c r="B80" s="6" t="s">
        <v>27</v>
      </c>
      <c r="C80" s="6">
        <v>9</v>
      </c>
      <c r="D80" s="6" t="s">
        <v>153</v>
      </c>
      <c r="E80" s="6" t="s">
        <v>154</v>
      </c>
      <c r="F80" s="6" t="s">
        <v>155</v>
      </c>
      <c r="G80" s="6" t="s">
        <v>156</v>
      </c>
      <c r="H80" s="6" t="s">
        <v>159</v>
      </c>
      <c r="I80" s="7">
        <v>2020051290030</v>
      </c>
      <c r="J80" s="6">
        <v>4</v>
      </c>
      <c r="K80" s="6">
        <v>1914</v>
      </c>
      <c r="L80" s="6" t="s">
        <v>163</v>
      </c>
      <c r="M80" s="6" t="s">
        <v>34</v>
      </c>
      <c r="N80" s="9" t="s">
        <v>35</v>
      </c>
      <c r="O80" s="6" t="s">
        <v>74</v>
      </c>
      <c r="P80" s="6" t="s">
        <v>37</v>
      </c>
      <c r="Q80" s="6">
        <v>1</v>
      </c>
      <c r="R80" s="21">
        <f t="shared" si="1"/>
        <v>37105036</v>
      </c>
      <c r="S80" s="21">
        <v>0</v>
      </c>
      <c r="T80" s="20">
        <v>0</v>
      </c>
      <c r="U80" s="20">
        <v>0</v>
      </c>
      <c r="V80" s="20">
        <v>0</v>
      </c>
      <c r="W80" s="20">
        <f>25882383+11222653</f>
        <v>37105036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</row>
    <row r="81" spans="1:33" ht="30" customHeight="1" x14ac:dyDescent="0.2">
      <c r="A81" s="6">
        <v>1</v>
      </c>
      <c r="B81" s="6" t="s">
        <v>27</v>
      </c>
      <c r="C81" s="6">
        <v>9</v>
      </c>
      <c r="D81" s="6" t="s">
        <v>153</v>
      </c>
      <c r="E81" s="6" t="s">
        <v>154</v>
      </c>
      <c r="F81" s="6" t="s">
        <v>155</v>
      </c>
      <c r="G81" s="6" t="s">
        <v>156</v>
      </c>
      <c r="H81" s="6" t="s">
        <v>159</v>
      </c>
      <c r="I81" s="7">
        <v>2020051290030</v>
      </c>
      <c r="J81" s="6">
        <v>5</v>
      </c>
      <c r="K81" s="6">
        <v>1915</v>
      </c>
      <c r="L81" s="6" t="s">
        <v>164</v>
      </c>
      <c r="M81" s="6" t="s">
        <v>46</v>
      </c>
      <c r="N81" s="9" t="s">
        <v>60</v>
      </c>
      <c r="O81" s="6" t="s">
        <v>74</v>
      </c>
      <c r="P81" s="6" t="s">
        <v>37</v>
      </c>
      <c r="Q81" s="9">
        <v>0.5</v>
      </c>
      <c r="R81" s="21">
        <f t="shared" si="1"/>
        <v>56222653</v>
      </c>
      <c r="S81" s="21">
        <v>0</v>
      </c>
      <c r="T81" s="20">
        <v>0</v>
      </c>
      <c r="U81" s="20">
        <v>0</v>
      </c>
      <c r="V81" s="20">
        <v>0</v>
      </c>
      <c r="W81" s="20">
        <f>45000000+11222653</f>
        <v>56222653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</row>
    <row r="82" spans="1:33" ht="30" customHeight="1" x14ac:dyDescent="0.2">
      <c r="A82" s="6">
        <v>1</v>
      </c>
      <c r="B82" s="6" t="s">
        <v>27</v>
      </c>
      <c r="C82" s="6">
        <v>9</v>
      </c>
      <c r="D82" s="6" t="s">
        <v>153</v>
      </c>
      <c r="E82" s="6" t="s">
        <v>154</v>
      </c>
      <c r="F82" s="6" t="s">
        <v>155</v>
      </c>
      <c r="G82" s="6" t="s">
        <v>156</v>
      </c>
      <c r="H82" s="6" t="s">
        <v>159</v>
      </c>
      <c r="I82" s="7">
        <v>2020051290030</v>
      </c>
      <c r="J82" s="6">
        <v>6</v>
      </c>
      <c r="K82" s="6">
        <v>1916</v>
      </c>
      <c r="L82" s="6" t="s">
        <v>165</v>
      </c>
      <c r="M82" s="6" t="s">
        <v>34</v>
      </c>
      <c r="N82" s="9" t="s">
        <v>35</v>
      </c>
      <c r="O82" s="6" t="s">
        <v>74</v>
      </c>
      <c r="P82" s="6" t="s">
        <v>37</v>
      </c>
      <c r="Q82" s="6">
        <v>2</v>
      </c>
      <c r="R82" s="21">
        <f t="shared" si="1"/>
        <v>81222653</v>
      </c>
      <c r="S82" s="21">
        <v>0</v>
      </c>
      <c r="T82" s="20">
        <v>0</v>
      </c>
      <c r="U82" s="20">
        <v>0</v>
      </c>
      <c r="V82" s="20">
        <v>0</v>
      </c>
      <c r="W82" s="20">
        <f>70000000+11222653</f>
        <v>81222653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</row>
    <row r="83" spans="1:33" ht="30" customHeight="1" x14ac:dyDescent="0.2">
      <c r="A83" s="6">
        <v>1</v>
      </c>
      <c r="B83" s="6" t="s">
        <v>27</v>
      </c>
      <c r="C83" s="6">
        <v>9</v>
      </c>
      <c r="D83" s="6" t="s">
        <v>153</v>
      </c>
      <c r="E83" s="6" t="s">
        <v>154</v>
      </c>
      <c r="F83" s="6" t="s">
        <v>155</v>
      </c>
      <c r="G83" s="6" t="s">
        <v>156</v>
      </c>
      <c r="H83" s="6" t="s">
        <v>159</v>
      </c>
      <c r="I83" s="7">
        <v>2020051290030</v>
      </c>
      <c r="J83" s="6">
        <v>7</v>
      </c>
      <c r="K83" s="6">
        <v>1917</v>
      </c>
      <c r="L83" s="6" t="s">
        <v>166</v>
      </c>
      <c r="M83" s="6" t="s">
        <v>34</v>
      </c>
      <c r="N83" s="9" t="s">
        <v>35</v>
      </c>
      <c r="O83" s="6" t="s">
        <v>74</v>
      </c>
      <c r="P83" s="6" t="s">
        <v>37</v>
      </c>
      <c r="Q83" s="6">
        <v>8</v>
      </c>
      <c r="R83" s="21">
        <f t="shared" si="1"/>
        <v>53222653</v>
      </c>
      <c r="S83" s="21">
        <v>0</v>
      </c>
      <c r="T83" s="20">
        <v>0</v>
      </c>
      <c r="U83" s="20">
        <v>0</v>
      </c>
      <c r="V83" s="20">
        <v>0</v>
      </c>
      <c r="W83" s="20">
        <f>42000000+11222653</f>
        <v>53222653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</row>
    <row r="84" spans="1:33" ht="30" customHeight="1" x14ac:dyDescent="0.2">
      <c r="A84" s="6">
        <v>1</v>
      </c>
      <c r="B84" s="6" t="s">
        <v>27</v>
      </c>
      <c r="C84" s="6">
        <v>9</v>
      </c>
      <c r="D84" s="6" t="s">
        <v>153</v>
      </c>
      <c r="E84" s="6" t="s">
        <v>154</v>
      </c>
      <c r="F84" s="6" t="s">
        <v>155</v>
      </c>
      <c r="G84" s="6" t="s">
        <v>156</v>
      </c>
      <c r="H84" s="6" t="s">
        <v>159</v>
      </c>
      <c r="I84" s="7">
        <v>2020051290030</v>
      </c>
      <c r="J84" s="6">
        <v>8</v>
      </c>
      <c r="K84" s="6">
        <v>1918</v>
      </c>
      <c r="L84" s="6" t="s">
        <v>167</v>
      </c>
      <c r="M84" s="6" t="s">
        <v>34</v>
      </c>
      <c r="N84" s="9" t="s">
        <v>35</v>
      </c>
      <c r="O84" s="6" t="s">
        <v>74</v>
      </c>
      <c r="P84" s="6" t="s">
        <v>37</v>
      </c>
      <c r="Q84" s="6">
        <v>1</v>
      </c>
      <c r="R84" s="21">
        <f t="shared" si="1"/>
        <v>56222653</v>
      </c>
      <c r="S84" s="21">
        <v>0</v>
      </c>
      <c r="T84" s="20">
        <v>0</v>
      </c>
      <c r="U84" s="20">
        <v>0</v>
      </c>
      <c r="V84" s="20">
        <v>0</v>
      </c>
      <c r="W84" s="20">
        <f>45000000+11222653</f>
        <v>56222653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</row>
    <row r="85" spans="1:33" ht="30" customHeight="1" x14ac:dyDescent="0.2">
      <c r="A85" s="6">
        <v>1</v>
      </c>
      <c r="B85" s="6" t="s">
        <v>27</v>
      </c>
      <c r="C85" s="6">
        <v>9</v>
      </c>
      <c r="D85" s="6" t="s">
        <v>153</v>
      </c>
      <c r="E85" s="6" t="s">
        <v>154</v>
      </c>
      <c r="F85" s="6" t="s">
        <v>155</v>
      </c>
      <c r="G85" s="6" t="s">
        <v>156</v>
      </c>
      <c r="H85" s="6" t="s">
        <v>159</v>
      </c>
      <c r="I85" s="7">
        <v>2020051290030</v>
      </c>
      <c r="J85" s="6">
        <v>9</v>
      </c>
      <c r="K85" s="6">
        <v>1919</v>
      </c>
      <c r="L85" s="6" t="s">
        <v>168</v>
      </c>
      <c r="M85" s="6" t="s">
        <v>34</v>
      </c>
      <c r="N85" s="9" t="s">
        <v>35</v>
      </c>
      <c r="O85" s="6" t="s">
        <v>74</v>
      </c>
      <c r="P85" s="6" t="s">
        <v>37</v>
      </c>
      <c r="Q85" s="6">
        <v>1</v>
      </c>
      <c r="R85" s="21">
        <f t="shared" si="1"/>
        <v>36222653</v>
      </c>
      <c r="S85" s="21">
        <v>0</v>
      </c>
      <c r="T85" s="20">
        <v>0</v>
      </c>
      <c r="U85" s="20">
        <v>0</v>
      </c>
      <c r="V85" s="20">
        <v>0</v>
      </c>
      <c r="W85" s="20">
        <f>25000000+11222653</f>
        <v>36222653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</row>
    <row r="86" spans="1:33" ht="30" customHeight="1" x14ac:dyDescent="0.2">
      <c r="A86" s="6">
        <v>1</v>
      </c>
      <c r="B86" s="6" t="s">
        <v>27</v>
      </c>
      <c r="C86" s="6">
        <v>9</v>
      </c>
      <c r="D86" s="6" t="s">
        <v>153</v>
      </c>
      <c r="E86" s="6" t="s">
        <v>154</v>
      </c>
      <c r="F86" s="6" t="s">
        <v>169</v>
      </c>
      <c r="G86" s="6" t="s">
        <v>170</v>
      </c>
      <c r="H86" s="6" t="s">
        <v>171</v>
      </c>
      <c r="I86" s="7">
        <v>2020051290032</v>
      </c>
      <c r="J86" s="6">
        <v>1</v>
      </c>
      <c r="K86" s="6">
        <v>1921</v>
      </c>
      <c r="L86" s="6" t="s">
        <v>172</v>
      </c>
      <c r="M86" s="6" t="s">
        <v>34</v>
      </c>
      <c r="N86" s="9" t="s">
        <v>35</v>
      </c>
      <c r="O86" s="6" t="s">
        <v>74</v>
      </c>
      <c r="P86" s="6" t="s">
        <v>37</v>
      </c>
      <c r="Q86" s="6">
        <v>240</v>
      </c>
      <c r="R86" s="21">
        <f t="shared" si="1"/>
        <v>78222653</v>
      </c>
      <c r="S86" s="21">
        <v>0</v>
      </c>
      <c r="T86" s="20">
        <v>0</v>
      </c>
      <c r="U86" s="20">
        <v>0</v>
      </c>
      <c r="V86" s="20">
        <v>0</v>
      </c>
      <c r="W86" s="20">
        <f>67000000+11222653</f>
        <v>78222653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</row>
    <row r="87" spans="1:33" ht="30" customHeight="1" x14ac:dyDescent="0.2">
      <c r="A87" s="6">
        <v>1</v>
      </c>
      <c r="B87" s="6" t="s">
        <v>27</v>
      </c>
      <c r="C87" s="6">
        <v>9</v>
      </c>
      <c r="D87" s="6" t="s">
        <v>153</v>
      </c>
      <c r="E87" s="6" t="s">
        <v>154</v>
      </c>
      <c r="F87" s="6" t="s">
        <v>169</v>
      </c>
      <c r="G87" s="6" t="s">
        <v>170</v>
      </c>
      <c r="H87" s="6" t="s">
        <v>171</v>
      </c>
      <c r="I87" s="7">
        <v>2020051290032</v>
      </c>
      <c r="J87" s="6">
        <v>2</v>
      </c>
      <c r="K87" s="6">
        <v>1922</v>
      </c>
      <c r="L87" s="6" t="s">
        <v>173</v>
      </c>
      <c r="M87" s="6" t="s">
        <v>34</v>
      </c>
      <c r="N87" s="9" t="s">
        <v>35</v>
      </c>
      <c r="O87" s="6" t="s">
        <v>74</v>
      </c>
      <c r="P87" s="6" t="s">
        <v>37</v>
      </c>
      <c r="Q87" s="6">
        <v>100</v>
      </c>
      <c r="R87" s="21">
        <f t="shared" si="1"/>
        <v>81222653</v>
      </c>
      <c r="S87" s="21">
        <v>0</v>
      </c>
      <c r="T87" s="20">
        <v>0</v>
      </c>
      <c r="U87" s="20">
        <v>0</v>
      </c>
      <c r="V87" s="20">
        <v>0</v>
      </c>
      <c r="W87" s="20">
        <f>70000000+11222653</f>
        <v>81222653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</row>
    <row r="88" spans="1:33" ht="60" customHeight="1" x14ac:dyDescent="0.2">
      <c r="A88" s="6">
        <v>1</v>
      </c>
      <c r="B88" s="6" t="s">
        <v>27</v>
      </c>
      <c r="C88" s="6">
        <v>9</v>
      </c>
      <c r="D88" s="6" t="s">
        <v>153</v>
      </c>
      <c r="E88" s="6" t="s">
        <v>154</v>
      </c>
      <c r="F88" s="6" t="s">
        <v>169</v>
      </c>
      <c r="G88" s="6" t="s">
        <v>170</v>
      </c>
      <c r="H88" s="6" t="s">
        <v>171</v>
      </c>
      <c r="I88" s="7">
        <v>2020051290032</v>
      </c>
      <c r="J88" s="6">
        <v>3</v>
      </c>
      <c r="K88" s="6">
        <v>1923</v>
      </c>
      <c r="L88" s="6" t="s">
        <v>174</v>
      </c>
      <c r="M88" s="6" t="s">
        <v>34</v>
      </c>
      <c r="N88" s="9" t="s">
        <v>35</v>
      </c>
      <c r="O88" s="6" t="s">
        <v>74</v>
      </c>
      <c r="P88" s="6" t="s">
        <v>37</v>
      </c>
      <c r="Q88" s="6">
        <v>1</v>
      </c>
      <c r="R88" s="21">
        <f t="shared" si="1"/>
        <v>81222653</v>
      </c>
      <c r="S88" s="21">
        <v>0</v>
      </c>
      <c r="T88" s="20">
        <v>0</v>
      </c>
      <c r="U88" s="20">
        <v>0</v>
      </c>
      <c r="V88" s="20">
        <v>0</v>
      </c>
      <c r="W88" s="20">
        <f>70000000+11222653</f>
        <v>81222653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</row>
    <row r="89" spans="1:33" ht="30" customHeight="1" x14ac:dyDescent="0.2">
      <c r="A89" s="6">
        <v>1</v>
      </c>
      <c r="B89" s="6" t="s">
        <v>27</v>
      </c>
      <c r="C89" s="6">
        <v>9</v>
      </c>
      <c r="D89" s="6" t="s">
        <v>153</v>
      </c>
      <c r="E89" s="6" t="s">
        <v>154</v>
      </c>
      <c r="F89" s="6" t="s">
        <v>175</v>
      </c>
      <c r="G89" s="6" t="s">
        <v>176</v>
      </c>
      <c r="H89" s="6" t="s">
        <v>177</v>
      </c>
      <c r="I89" s="7">
        <v>2020051290031</v>
      </c>
      <c r="J89" s="6">
        <v>1</v>
      </c>
      <c r="K89" s="6">
        <v>1931</v>
      </c>
      <c r="L89" s="6" t="s">
        <v>178</v>
      </c>
      <c r="M89" s="6" t="s">
        <v>34</v>
      </c>
      <c r="N89" s="9" t="s">
        <v>179</v>
      </c>
      <c r="O89" s="6" t="s">
        <v>74</v>
      </c>
      <c r="P89" s="6" t="s">
        <v>37</v>
      </c>
      <c r="Q89" s="6">
        <v>1</v>
      </c>
      <c r="R89" s="21">
        <f t="shared" si="1"/>
        <v>31222653</v>
      </c>
      <c r="S89" s="21">
        <v>0</v>
      </c>
      <c r="T89" s="20">
        <v>0</v>
      </c>
      <c r="U89" s="20">
        <v>0</v>
      </c>
      <c r="V89" s="20">
        <v>0</v>
      </c>
      <c r="W89" s="20">
        <f>20000000+11222653</f>
        <v>31222653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</row>
    <row r="90" spans="1:33" ht="30" customHeight="1" x14ac:dyDescent="0.2">
      <c r="A90" s="6">
        <v>1</v>
      </c>
      <c r="B90" s="6" t="s">
        <v>27</v>
      </c>
      <c r="C90" s="6">
        <v>9</v>
      </c>
      <c r="D90" s="6" t="s">
        <v>153</v>
      </c>
      <c r="E90" s="6" t="s">
        <v>154</v>
      </c>
      <c r="F90" s="6" t="s">
        <v>175</v>
      </c>
      <c r="G90" s="6" t="s">
        <v>176</v>
      </c>
      <c r="H90" s="6" t="s">
        <v>177</v>
      </c>
      <c r="I90" s="7">
        <v>2020051290031</v>
      </c>
      <c r="J90" s="6">
        <v>2</v>
      </c>
      <c r="K90" s="6">
        <v>1932</v>
      </c>
      <c r="L90" s="6" t="s">
        <v>180</v>
      </c>
      <c r="M90" s="6" t="s">
        <v>34</v>
      </c>
      <c r="N90" s="9" t="s">
        <v>35</v>
      </c>
      <c r="O90" s="6" t="s">
        <v>74</v>
      </c>
      <c r="P90" s="6" t="s">
        <v>37</v>
      </c>
      <c r="Q90" s="6">
        <v>5</v>
      </c>
      <c r="R90" s="21">
        <f t="shared" si="1"/>
        <v>25222653</v>
      </c>
      <c r="S90" s="21">
        <v>0</v>
      </c>
      <c r="T90" s="20">
        <v>0</v>
      </c>
      <c r="U90" s="20">
        <v>0</v>
      </c>
      <c r="V90" s="20">
        <v>0</v>
      </c>
      <c r="W90" s="20">
        <f>14000000+11222653</f>
        <v>25222653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</row>
    <row r="91" spans="1:33" ht="30" customHeight="1" x14ac:dyDescent="0.2">
      <c r="A91" s="6">
        <v>1</v>
      </c>
      <c r="B91" s="6" t="s">
        <v>27</v>
      </c>
      <c r="C91" s="6">
        <v>9</v>
      </c>
      <c r="D91" s="6" t="s">
        <v>153</v>
      </c>
      <c r="E91" s="6" t="s">
        <v>154</v>
      </c>
      <c r="F91" s="6" t="s">
        <v>175</v>
      </c>
      <c r="G91" s="6" t="s">
        <v>176</v>
      </c>
      <c r="H91" s="6" t="s">
        <v>177</v>
      </c>
      <c r="I91" s="7">
        <v>2020051290031</v>
      </c>
      <c r="J91" s="6">
        <v>3</v>
      </c>
      <c r="K91" s="6">
        <v>1933</v>
      </c>
      <c r="L91" s="6" t="s">
        <v>181</v>
      </c>
      <c r="M91" s="6" t="s">
        <v>34</v>
      </c>
      <c r="N91" s="9" t="s">
        <v>179</v>
      </c>
      <c r="O91" s="6" t="s">
        <v>74</v>
      </c>
      <c r="P91" s="6" t="s">
        <v>37</v>
      </c>
      <c r="Q91" s="6">
        <v>10</v>
      </c>
      <c r="R91" s="21">
        <f t="shared" si="1"/>
        <v>21222653</v>
      </c>
      <c r="S91" s="21">
        <v>0</v>
      </c>
      <c r="T91" s="20">
        <v>0</v>
      </c>
      <c r="U91" s="20">
        <v>0</v>
      </c>
      <c r="V91" s="20">
        <v>0</v>
      </c>
      <c r="W91" s="20">
        <f>10000000+11222653</f>
        <v>21222653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</row>
    <row r="92" spans="1:33" ht="30" customHeight="1" x14ac:dyDescent="0.2">
      <c r="A92" s="6">
        <v>1</v>
      </c>
      <c r="B92" s="6" t="s">
        <v>27</v>
      </c>
      <c r="C92" s="6">
        <v>9</v>
      </c>
      <c r="D92" s="6" t="s">
        <v>153</v>
      </c>
      <c r="E92" s="6" t="s">
        <v>154</v>
      </c>
      <c r="F92" s="6" t="s">
        <v>182</v>
      </c>
      <c r="G92" s="6" t="s">
        <v>183</v>
      </c>
      <c r="H92" s="6" t="s">
        <v>184</v>
      </c>
      <c r="I92" s="7">
        <v>2020051290033</v>
      </c>
      <c r="J92" s="6">
        <v>1</v>
      </c>
      <c r="K92" s="6">
        <v>1941</v>
      </c>
      <c r="L92" s="6" t="s">
        <v>185</v>
      </c>
      <c r="M92" s="6" t="s">
        <v>34</v>
      </c>
      <c r="N92" s="9" t="s">
        <v>35</v>
      </c>
      <c r="O92" s="6" t="s">
        <v>74</v>
      </c>
      <c r="P92" s="6" t="s">
        <v>37</v>
      </c>
      <c r="Q92" s="6">
        <v>1</v>
      </c>
      <c r="R92" s="21">
        <f t="shared" si="1"/>
        <v>25222653</v>
      </c>
      <c r="S92" s="21">
        <v>0</v>
      </c>
      <c r="T92" s="20">
        <v>0</v>
      </c>
      <c r="U92" s="20">
        <v>0</v>
      </c>
      <c r="V92" s="20">
        <v>0</v>
      </c>
      <c r="W92" s="20">
        <f>14000000+11222653</f>
        <v>25222653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</row>
    <row r="93" spans="1:33" ht="30" customHeight="1" x14ac:dyDescent="0.2">
      <c r="A93" s="6">
        <v>1</v>
      </c>
      <c r="B93" s="6" t="s">
        <v>27</v>
      </c>
      <c r="C93" s="6">
        <v>9</v>
      </c>
      <c r="D93" s="6" t="s">
        <v>153</v>
      </c>
      <c r="E93" s="6" t="s">
        <v>154</v>
      </c>
      <c r="F93" s="6" t="s">
        <v>182</v>
      </c>
      <c r="G93" s="6" t="s">
        <v>183</v>
      </c>
      <c r="H93" s="6" t="s">
        <v>184</v>
      </c>
      <c r="I93" s="7">
        <v>2020051290033</v>
      </c>
      <c r="J93" s="6">
        <v>2</v>
      </c>
      <c r="K93" s="6">
        <v>1942</v>
      </c>
      <c r="L93" s="6" t="s">
        <v>186</v>
      </c>
      <c r="M93" s="6" t="s">
        <v>34</v>
      </c>
      <c r="N93" s="9" t="s">
        <v>179</v>
      </c>
      <c r="O93" s="6" t="s">
        <v>74</v>
      </c>
      <c r="P93" s="6" t="s">
        <v>161</v>
      </c>
      <c r="Q93" s="6">
        <v>317</v>
      </c>
      <c r="R93" s="21">
        <f t="shared" si="1"/>
        <v>260324181</v>
      </c>
      <c r="S93" s="21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f>205000000+55324181</f>
        <v>260324181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</row>
    <row r="94" spans="1:33" ht="30" customHeight="1" x14ac:dyDescent="0.2">
      <c r="A94" s="6">
        <v>1</v>
      </c>
      <c r="B94" s="6" t="s">
        <v>27</v>
      </c>
      <c r="C94" s="6">
        <v>9</v>
      </c>
      <c r="D94" s="6" t="s">
        <v>153</v>
      </c>
      <c r="E94" s="6" t="s">
        <v>154</v>
      </c>
      <c r="F94" s="6" t="s">
        <v>182</v>
      </c>
      <c r="G94" s="6" t="s">
        <v>183</v>
      </c>
      <c r="H94" s="6" t="s">
        <v>184</v>
      </c>
      <c r="I94" s="7">
        <v>2020051290033</v>
      </c>
      <c r="J94" s="6">
        <v>5</v>
      </c>
      <c r="K94" s="6">
        <v>1945</v>
      </c>
      <c r="L94" s="6" t="s">
        <v>187</v>
      </c>
      <c r="M94" s="6" t="s">
        <v>34</v>
      </c>
      <c r="N94" s="9" t="s">
        <v>35</v>
      </c>
      <c r="O94" s="6" t="s">
        <v>74</v>
      </c>
      <c r="P94" s="6" t="s">
        <v>37</v>
      </c>
      <c r="Q94" s="6">
        <v>1</v>
      </c>
      <c r="R94" s="21">
        <f t="shared" si="1"/>
        <v>191222653</v>
      </c>
      <c r="S94" s="21">
        <v>0</v>
      </c>
      <c r="T94" s="20">
        <v>0</v>
      </c>
      <c r="U94" s="20">
        <v>0</v>
      </c>
      <c r="V94" s="20">
        <v>0</v>
      </c>
      <c r="W94" s="20">
        <f>180000000+11222653</f>
        <v>191222653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</row>
    <row r="95" spans="1:33" ht="30" customHeight="1" x14ac:dyDescent="0.2">
      <c r="A95" s="6">
        <v>1</v>
      </c>
      <c r="B95" s="6" t="s">
        <v>27</v>
      </c>
      <c r="C95" s="6">
        <v>9</v>
      </c>
      <c r="D95" s="6" t="s">
        <v>153</v>
      </c>
      <c r="E95" s="6" t="s">
        <v>154</v>
      </c>
      <c r="F95" s="6" t="s">
        <v>182</v>
      </c>
      <c r="G95" s="6" t="s">
        <v>183</v>
      </c>
      <c r="H95" s="6" t="s">
        <v>184</v>
      </c>
      <c r="I95" s="7">
        <v>2020051290033</v>
      </c>
      <c r="J95" s="6">
        <v>5</v>
      </c>
      <c r="K95" s="6">
        <v>1945</v>
      </c>
      <c r="L95" s="6" t="s">
        <v>187</v>
      </c>
      <c r="M95" s="6" t="s">
        <v>34</v>
      </c>
      <c r="N95" s="9" t="s">
        <v>35</v>
      </c>
      <c r="O95" s="6" t="s">
        <v>74</v>
      </c>
      <c r="P95" s="6" t="s">
        <v>161</v>
      </c>
      <c r="Q95" s="6">
        <v>1</v>
      </c>
      <c r="R95" s="21">
        <f t="shared" si="1"/>
        <v>50000000</v>
      </c>
      <c r="S95" s="21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50000000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</row>
    <row r="96" spans="1:33" ht="30" customHeight="1" x14ac:dyDescent="0.2">
      <c r="A96" s="6">
        <v>1</v>
      </c>
      <c r="B96" s="6" t="s">
        <v>27</v>
      </c>
      <c r="C96" s="6">
        <v>9</v>
      </c>
      <c r="D96" s="6" t="s">
        <v>153</v>
      </c>
      <c r="E96" s="6" t="s">
        <v>154</v>
      </c>
      <c r="F96" s="6" t="s">
        <v>182</v>
      </c>
      <c r="G96" s="6" t="s">
        <v>183</v>
      </c>
      <c r="H96" s="6" t="s">
        <v>184</v>
      </c>
      <c r="I96" s="7">
        <v>2020051290033</v>
      </c>
      <c r="J96" s="6">
        <v>5</v>
      </c>
      <c r="K96" s="6">
        <v>1945</v>
      </c>
      <c r="L96" s="6" t="s">
        <v>187</v>
      </c>
      <c r="M96" s="6" t="s">
        <v>34</v>
      </c>
      <c r="N96" s="9" t="s">
        <v>35</v>
      </c>
      <c r="O96" s="6" t="s">
        <v>74</v>
      </c>
      <c r="P96" s="6" t="s">
        <v>681</v>
      </c>
      <c r="Q96" s="6">
        <v>1</v>
      </c>
      <c r="R96" s="21">
        <f t="shared" si="1"/>
        <v>200000000</v>
      </c>
      <c r="S96" s="21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200000000</v>
      </c>
      <c r="AE96" s="20">
        <v>0</v>
      </c>
      <c r="AF96" s="20">
        <v>0</v>
      </c>
      <c r="AG96" s="20">
        <v>0</v>
      </c>
    </row>
    <row r="97" spans="1:33" ht="30" customHeight="1" x14ac:dyDescent="0.2">
      <c r="A97" s="6">
        <v>1</v>
      </c>
      <c r="B97" s="6" t="s">
        <v>27</v>
      </c>
      <c r="C97" s="6">
        <v>9</v>
      </c>
      <c r="D97" s="6" t="s">
        <v>153</v>
      </c>
      <c r="E97" s="6" t="s">
        <v>154</v>
      </c>
      <c r="F97" s="6" t="s">
        <v>182</v>
      </c>
      <c r="G97" s="6" t="s">
        <v>183</v>
      </c>
      <c r="H97" s="6" t="s">
        <v>184</v>
      </c>
      <c r="I97" s="7">
        <v>2020051290033</v>
      </c>
      <c r="J97" s="6">
        <v>6</v>
      </c>
      <c r="K97" s="6">
        <v>1946</v>
      </c>
      <c r="L97" s="6" t="s">
        <v>188</v>
      </c>
      <c r="M97" s="6" t="s">
        <v>34</v>
      </c>
      <c r="N97" s="9" t="s">
        <v>35</v>
      </c>
      <c r="O97" s="6" t="s">
        <v>74</v>
      </c>
      <c r="P97" s="6" t="s">
        <v>161</v>
      </c>
      <c r="Q97" s="6">
        <v>1</v>
      </c>
      <c r="R97" s="21">
        <f t="shared" si="1"/>
        <v>172286623</v>
      </c>
      <c r="S97" s="21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172286623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</row>
    <row r="98" spans="1:33" ht="30" customHeight="1" x14ac:dyDescent="0.2">
      <c r="A98" s="6">
        <v>1</v>
      </c>
      <c r="B98" s="6" t="s">
        <v>27</v>
      </c>
      <c r="C98" s="6">
        <v>9</v>
      </c>
      <c r="D98" s="6" t="s">
        <v>153</v>
      </c>
      <c r="E98" s="6" t="s">
        <v>154</v>
      </c>
      <c r="F98" s="6" t="s">
        <v>182</v>
      </c>
      <c r="G98" s="6" t="s">
        <v>183</v>
      </c>
      <c r="H98" s="6" t="s">
        <v>184</v>
      </c>
      <c r="I98" s="7">
        <v>2020051290033</v>
      </c>
      <c r="J98" s="6">
        <v>6</v>
      </c>
      <c r="K98" s="6">
        <v>1946</v>
      </c>
      <c r="L98" s="6" t="s">
        <v>188</v>
      </c>
      <c r="M98" s="6" t="s">
        <v>34</v>
      </c>
      <c r="N98" s="9" t="s">
        <v>35</v>
      </c>
      <c r="O98" s="6" t="s">
        <v>74</v>
      </c>
      <c r="P98" s="6" t="s">
        <v>161</v>
      </c>
      <c r="Q98" s="6">
        <v>1</v>
      </c>
      <c r="R98" s="21">
        <f t="shared" si="1"/>
        <v>172286623</v>
      </c>
      <c r="S98" s="21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172286623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</row>
    <row r="99" spans="1:33" ht="30" customHeight="1" x14ac:dyDescent="0.2">
      <c r="A99" s="6">
        <v>1</v>
      </c>
      <c r="B99" s="6" t="s">
        <v>27</v>
      </c>
      <c r="C99" s="6">
        <v>9</v>
      </c>
      <c r="D99" s="6" t="s">
        <v>153</v>
      </c>
      <c r="E99" s="6" t="s">
        <v>154</v>
      </c>
      <c r="F99" s="6" t="s">
        <v>182</v>
      </c>
      <c r="G99" s="6" t="s">
        <v>183</v>
      </c>
      <c r="H99" s="6" t="s">
        <v>184</v>
      </c>
      <c r="I99" s="7">
        <v>2020051290033</v>
      </c>
      <c r="J99" s="6">
        <v>6</v>
      </c>
      <c r="K99" s="6">
        <v>1946</v>
      </c>
      <c r="L99" s="6" t="s">
        <v>188</v>
      </c>
      <c r="M99" s="6" t="s">
        <v>34</v>
      </c>
      <c r="N99" s="9" t="s">
        <v>35</v>
      </c>
      <c r="O99" s="6" t="s">
        <v>74</v>
      </c>
      <c r="P99" s="6" t="s">
        <v>161</v>
      </c>
      <c r="Q99" s="6">
        <v>1</v>
      </c>
      <c r="R99" s="21">
        <f t="shared" si="1"/>
        <v>208785523</v>
      </c>
      <c r="S99" s="21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208785523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</row>
    <row r="100" spans="1:33" ht="30" customHeight="1" x14ac:dyDescent="0.2">
      <c r="A100" s="6">
        <v>1</v>
      </c>
      <c r="B100" s="6" t="s">
        <v>27</v>
      </c>
      <c r="C100" s="6">
        <v>9</v>
      </c>
      <c r="D100" s="6" t="s">
        <v>153</v>
      </c>
      <c r="E100" s="6" t="s">
        <v>154</v>
      </c>
      <c r="F100" s="6" t="s">
        <v>182</v>
      </c>
      <c r="G100" s="6" t="s">
        <v>183</v>
      </c>
      <c r="H100" s="6" t="s">
        <v>184</v>
      </c>
      <c r="I100" s="7">
        <v>2020051290033</v>
      </c>
      <c r="J100" s="6">
        <v>6</v>
      </c>
      <c r="K100" s="6">
        <v>1946</v>
      </c>
      <c r="L100" s="6" t="s">
        <v>188</v>
      </c>
      <c r="M100" s="6" t="s">
        <v>34</v>
      </c>
      <c r="N100" s="9" t="s">
        <v>35</v>
      </c>
      <c r="O100" s="6" t="s">
        <v>74</v>
      </c>
      <c r="P100" s="6" t="s">
        <v>161</v>
      </c>
      <c r="Q100" s="6">
        <v>1</v>
      </c>
      <c r="R100" s="21">
        <f t="shared" si="1"/>
        <v>144099590</v>
      </c>
      <c r="S100" s="21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144099590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</row>
    <row r="101" spans="1:33" ht="30" customHeight="1" x14ac:dyDescent="0.2">
      <c r="A101" s="6">
        <v>1</v>
      </c>
      <c r="B101" s="6" t="s">
        <v>27</v>
      </c>
      <c r="C101" s="6">
        <v>9</v>
      </c>
      <c r="D101" s="6" t="s">
        <v>153</v>
      </c>
      <c r="E101" s="6" t="s">
        <v>154</v>
      </c>
      <c r="F101" s="6" t="s">
        <v>182</v>
      </c>
      <c r="G101" s="6" t="s">
        <v>183</v>
      </c>
      <c r="H101" s="6" t="s">
        <v>184</v>
      </c>
      <c r="I101" s="7">
        <v>2020051290033</v>
      </c>
      <c r="J101" s="6">
        <v>7</v>
      </c>
      <c r="K101" s="6">
        <v>1947</v>
      </c>
      <c r="L101" s="6" t="s">
        <v>189</v>
      </c>
      <c r="M101" s="6" t="s">
        <v>34</v>
      </c>
      <c r="N101" s="9" t="s">
        <v>35</v>
      </c>
      <c r="O101" s="6" t="s">
        <v>74</v>
      </c>
      <c r="P101" s="6" t="s">
        <v>161</v>
      </c>
      <c r="Q101" s="6">
        <v>1</v>
      </c>
      <c r="R101" s="21">
        <f t="shared" si="1"/>
        <v>45000000</v>
      </c>
      <c r="S101" s="21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45000000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</row>
    <row r="102" spans="1:33" ht="30" customHeight="1" x14ac:dyDescent="0.2">
      <c r="A102" s="6">
        <v>1</v>
      </c>
      <c r="B102" s="6" t="s">
        <v>27</v>
      </c>
      <c r="C102" s="6">
        <v>9</v>
      </c>
      <c r="D102" s="6" t="s">
        <v>153</v>
      </c>
      <c r="E102" s="6" t="s">
        <v>154</v>
      </c>
      <c r="F102" s="6" t="s">
        <v>190</v>
      </c>
      <c r="G102" s="6" t="s">
        <v>191</v>
      </c>
      <c r="H102" s="6" t="s">
        <v>192</v>
      </c>
      <c r="I102" s="7">
        <v>2020051290028</v>
      </c>
      <c r="J102" s="6">
        <v>1</v>
      </c>
      <c r="K102" s="6">
        <v>1951</v>
      </c>
      <c r="L102" s="6" t="s">
        <v>193</v>
      </c>
      <c r="M102" s="6" t="s">
        <v>34</v>
      </c>
      <c r="N102" s="9" t="s">
        <v>35</v>
      </c>
      <c r="O102" s="6" t="s">
        <v>74</v>
      </c>
      <c r="P102" s="6" t="s">
        <v>37</v>
      </c>
      <c r="Q102" s="6">
        <v>1</v>
      </c>
      <c r="R102" s="21">
        <f t="shared" si="1"/>
        <v>46955995</v>
      </c>
      <c r="S102" s="21">
        <v>0</v>
      </c>
      <c r="T102" s="20">
        <v>0</v>
      </c>
      <c r="U102" s="20">
        <v>0</v>
      </c>
      <c r="V102" s="20">
        <v>0</v>
      </c>
      <c r="W102" s="20">
        <f>35733342+11222653</f>
        <v>46955995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</row>
    <row r="103" spans="1:33" ht="30" customHeight="1" x14ac:dyDescent="0.2">
      <c r="A103" s="6">
        <v>1</v>
      </c>
      <c r="B103" s="6" t="s">
        <v>27</v>
      </c>
      <c r="C103" s="6">
        <v>9</v>
      </c>
      <c r="D103" s="6" t="s">
        <v>153</v>
      </c>
      <c r="E103" s="6" t="s">
        <v>154</v>
      </c>
      <c r="F103" s="6" t="s">
        <v>190</v>
      </c>
      <c r="G103" s="6" t="s">
        <v>191</v>
      </c>
      <c r="H103" s="6" t="s">
        <v>192</v>
      </c>
      <c r="I103" s="7">
        <v>2020051290028</v>
      </c>
      <c r="J103" s="6">
        <v>1</v>
      </c>
      <c r="K103" s="6">
        <v>1951</v>
      </c>
      <c r="L103" s="6" t="s">
        <v>193</v>
      </c>
      <c r="M103" s="6" t="s">
        <v>34</v>
      </c>
      <c r="N103" s="9" t="s">
        <v>35</v>
      </c>
      <c r="O103" s="6" t="s">
        <v>74</v>
      </c>
      <c r="P103" s="6" t="s">
        <v>161</v>
      </c>
      <c r="Q103" s="6">
        <v>1</v>
      </c>
      <c r="R103" s="21">
        <f t="shared" si="1"/>
        <v>1984604.9962499994</v>
      </c>
      <c r="S103" s="21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1984604.9962499994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</row>
    <row r="104" spans="1:33" ht="46.5" customHeight="1" x14ac:dyDescent="0.2">
      <c r="A104" s="6">
        <v>1</v>
      </c>
      <c r="B104" s="6" t="s">
        <v>27</v>
      </c>
      <c r="C104" s="6">
        <v>9</v>
      </c>
      <c r="D104" s="6" t="s">
        <v>153</v>
      </c>
      <c r="E104" s="6" t="s">
        <v>154</v>
      </c>
      <c r="F104" s="6" t="s">
        <v>190</v>
      </c>
      <c r="G104" s="6" t="s">
        <v>191</v>
      </c>
      <c r="H104" s="6" t="s">
        <v>192</v>
      </c>
      <c r="I104" s="7">
        <v>2020051290028</v>
      </c>
      <c r="J104" s="6">
        <v>2</v>
      </c>
      <c r="K104" s="6">
        <v>1952</v>
      </c>
      <c r="L104" s="6" t="s">
        <v>194</v>
      </c>
      <c r="M104" s="6" t="s">
        <v>34</v>
      </c>
      <c r="N104" s="9" t="s">
        <v>35</v>
      </c>
      <c r="O104" s="6" t="s">
        <v>74</v>
      </c>
      <c r="P104" s="6" t="s">
        <v>37</v>
      </c>
      <c r="Q104" s="6">
        <v>1</v>
      </c>
      <c r="R104" s="21">
        <f t="shared" si="1"/>
        <v>81222653</v>
      </c>
      <c r="S104" s="21">
        <v>0</v>
      </c>
      <c r="T104" s="20">
        <v>0</v>
      </c>
      <c r="U104" s="20">
        <v>0</v>
      </c>
      <c r="V104" s="20">
        <v>0</v>
      </c>
      <c r="W104" s="20">
        <f>70000000+11222653</f>
        <v>81222653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</row>
    <row r="105" spans="1:33" ht="30" customHeight="1" x14ac:dyDescent="0.2">
      <c r="A105" s="6">
        <v>1</v>
      </c>
      <c r="B105" s="6" t="s">
        <v>27</v>
      </c>
      <c r="C105" s="6">
        <v>9</v>
      </c>
      <c r="D105" s="6" t="s">
        <v>153</v>
      </c>
      <c r="E105" s="6" t="s">
        <v>154</v>
      </c>
      <c r="F105" s="6" t="s">
        <v>195</v>
      </c>
      <c r="G105" s="6" t="s">
        <v>196</v>
      </c>
      <c r="H105" s="6" t="s">
        <v>171</v>
      </c>
      <c r="I105" s="7">
        <v>2020051290032</v>
      </c>
      <c r="J105" s="6">
        <v>1</v>
      </c>
      <c r="K105" s="6">
        <v>1961</v>
      </c>
      <c r="L105" s="6" t="s">
        <v>197</v>
      </c>
      <c r="M105" s="6" t="s">
        <v>34</v>
      </c>
      <c r="N105" s="9" t="s">
        <v>35</v>
      </c>
      <c r="O105" s="6" t="s">
        <v>74</v>
      </c>
      <c r="P105" s="6" t="s">
        <v>37</v>
      </c>
      <c r="Q105" s="6">
        <v>1</v>
      </c>
      <c r="R105" s="21">
        <f t="shared" si="1"/>
        <v>316146535</v>
      </c>
      <c r="S105" s="21">
        <v>0</v>
      </c>
      <c r="T105" s="20">
        <v>0</v>
      </c>
      <c r="U105" s="20">
        <v>0</v>
      </c>
      <c r="V105" s="20">
        <v>0</v>
      </c>
      <c r="W105" s="20">
        <f>304923882+11222653</f>
        <v>316146535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</row>
    <row r="106" spans="1:33" ht="45" customHeight="1" x14ac:dyDescent="0.2">
      <c r="A106" s="6">
        <v>1</v>
      </c>
      <c r="B106" s="6" t="s">
        <v>27</v>
      </c>
      <c r="C106" s="6">
        <v>9</v>
      </c>
      <c r="D106" s="6" t="s">
        <v>153</v>
      </c>
      <c r="E106" s="6" t="s">
        <v>154</v>
      </c>
      <c r="F106" s="6" t="s">
        <v>198</v>
      </c>
      <c r="G106" s="6" t="s">
        <v>199</v>
      </c>
      <c r="H106" s="6" t="s">
        <v>184</v>
      </c>
      <c r="I106" s="7">
        <v>2020051290033</v>
      </c>
      <c r="J106" s="6">
        <v>1</v>
      </c>
      <c r="K106" s="6">
        <v>1971</v>
      </c>
      <c r="L106" s="6" t="s">
        <v>200</v>
      </c>
      <c r="M106" s="6" t="s">
        <v>34</v>
      </c>
      <c r="N106" s="9" t="s">
        <v>179</v>
      </c>
      <c r="O106" s="6" t="s">
        <v>74</v>
      </c>
      <c r="P106" s="6" t="s">
        <v>37</v>
      </c>
      <c r="Q106" s="6">
        <v>1</v>
      </c>
      <c r="R106" s="21">
        <f t="shared" si="1"/>
        <v>61215153</v>
      </c>
      <c r="S106" s="21">
        <v>0</v>
      </c>
      <c r="T106" s="20">
        <v>0</v>
      </c>
      <c r="U106" s="20">
        <v>0</v>
      </c>
      <c r="V106" s="20">
        <v>0</v>
      </c>
      <c r="W106" s="20">
        <f>49992500+11222653</f>
        <v>61215153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</row>
    <row r="107" spans="1:33" ht="63.75" customHeight="1" x14ac:dyDescent="0.2">
      <c r="A107" s="6">
        <v>1</v>
      </c>
      <c r="B107" s="6" t="s">
        <v>27</v>
      </c>
      <c r="C107" s="6">
        <v>9</v>
      </c>
      <c r="D107" s="6" t="s">
        <v>153</v>
      </c>
      <c r="E107" s="6" t="s">
        <v>154</v>
      </c>
      <c r="F107" s="6" t="s">
        <v>198</v>
      </c>
      <c r="G107" s="6" t="s">
        <v>199</v>
      </c>
      <c r="H107" s="6" t="s">
        <v>184</v>
      </c>
      <c r="I107" s="7">
        <v>2020051290033</v>
      </c>
      <c r="J107" s="6">
        <v>2</v>
      </c>
      <c r="K107" s="6">
        <v>1972</v>
      </c>
      <c r="L107" s="6" t="s">
        <v>201</v>
      </c>
      <c r="M107" s="6" t="s">
        <v>34</v>
      </c>
      <c r="N107" s="9" t="s">
        <v>35</v>
      </c>
      <c r="O107" s="6" t="s">
        <v>74</v>
      </c>
      <c r="P107" s="6" t="s">
        <v>37</v>
      </c>
      <c r="Q107" s="6">
        <v>1</v>
      </c>
      <c r="R107" s="21">
        <f t="shared" si="1"/>
        <v>237763951</v>
      </c>
      <c r="S107" s="21">
        <v>0</v>
      </c>
      <c r="T107" s="20">
        <v>0</v>
      </c>
      <c r="U107" s="20">
        <v>0</v>
      </c>
      <c r="V107" s="20">
        <v>0</v>
      </c>
      <c r="W107" s="20">
        <f>233046145-6504847+11222653</f>
        <v>237763951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</row>
    <row r="108" spans="1:33" ht="63.75" customHeight="1" x14ac:dyDescent="0.2">
      <c r="A108" s="6">
        <v>1</v>
      </c>
      <c r="B108" s="6" t="s">
        <v>27</v>
      </c>
      <c r="C108" s="6">
        <v>9</v>
      </c>
      <c r="D108" s="6" t="s">
        <v>153</v>
      </c>
      <c r="E108" s="6" t="s">
        <v>154</v>
      </c>
      <c r="F108" s="6" t="s">
        <v>198</v>
      </c>
      <c r="G108" s="6" t="s">
        <v>199</v>
      </c>
      <c r="H108" s="6" t="s">
        <v>184</v>
      </c>
      <c r="I108" s="7">
        <v>2020051290033</v>
      </c>
      <c r="J108" s="6">
        <v>2</v>
      </c>
      <c r="K108" s="6">
        <v>1972</v>
      </c>
      <c r="L108" s="6" t="s">
        <v>201</v>
      </c>
      <c r="M108" s="6" t="s">
        <v>34</v>
      </c>
      <c r="N108" s="9" t="s">
        <v>35</v>
      </c>
      <c r="O108" s="6" t="s">
        <v>74</v>
      </c>
      <c r="P108" s="6" t="s">
        <v>161</v>
      </c>
      <c r="Q108" s="6">
        <v>1</v>
      </c>
      <c r="R108" s="21">
        <f t="shared" si="1"/>
        <v>53244855</v>
      </c>
      <c r="S108" s="21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f>36953855+16291000</f>
        <v>53244855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</row>
    <row r="109" spans="1:33" ht="63.75" customHeight="1" x14ac:dyDescent="0.2">
      <c r="A109" s="6">
        <v>1</v>
      </c>
      <c r="B109" s="6" t="s">
        <v>27</v>
      </c>
      <c r="C109" s="6">
        <v>9</v>
      </c>
      <c r="D109" s="6" t="s">
        <v>153</v>
      </c>
      <c r="E109" s="6" t="s">
        <v>154</v>
      </c>
      <c r="F109" s="6" t="s">
        <v>198</v>
      </c>
      <c r="G109" s="6" t="s">
        <v>199</v>
      </c>
      <c r="H109" s="6" t="s">
        <v>184</v>
      </c>
      <c r="I109" s="7">
        <v>2020051290033</v>
      </c>
      <c r="J109" s="6">
        <v>2</v>
      </c>
      <c r="K109" s="6">
        <v>1972</v>
      </c>
      <c r="L109" s="6" t="s">
        <v>201</v>
      </c>
      <c r="M109" s="6" t="s">
        <v>34</v>
      </c>
      <c r="N109" s="9" t="s">
        <v>35</v>
      </c>
      <c r="O109" s="6" t="s">
        <v>74</v>
      </c>
      <c r="P109" s="1" t="s">
        <v>681</v>
      </c>
      <c r="Q109" s="6">
        <v>1</v>
      </c>
      <c r="R109" s="21">
        <f t="shared" si="1"/>
        <v>210156000</v>
      </c>
      <c r="S109" s="21">
        <v>0</v>
      </c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>
        <f>205000000+5156000</f>
        <v>210156000</v>
      </c>
      <c r="AE109" s="20"/>
      <c r="AF109" s="20"/>
      <c r="AG109" s="20"/>
    </row>
    <row r="110" spans="1:33" ht="30" customHeight="1" x14ac:dyDescent="0.2">
      <c r="A110" s="6">
        <v>1</v>
      </c>
      <c r="B110" s="6" t="s">
        <v>27</v>
      </c>
      <c r="C110" s="6">
        <v>9</v>
      </c>
      <c r="D110" s="6" t="s">
        <v>153</v>
      </c>
      <c r="E110" s="6" t="s">
        <v>154</v>
      </c>
      <c r="F110" s="6" t="s">
        <v>198</v>
      </c>
      <c r="G110" s="6" t="s">
        <v>199</v>
      </c>
      <c r="H110" s="6" t="s">
        <v>184</v>
      </c>
      <c r="I110" s="7">
        <v>2020051290033</v>
      </c>
      <c r="J110" s="6">
        <v>3</v>
      </c>
      <c r="K110" s="6">
        <v>1973</v>
      </c>
      <c r="L110" s="6" t="s">
        <v>202</v>
      </c>
      <c r="M110" s="6" t="s">
        <v>46</v>
      </c>
      <c r="N110" s="9" t="s">
        <v>60</v>
      </c>
      <c r="O110" s="6" t="s">
        <v>74</v>
      </c>
      <c r="P110" s="6" t="s">
        <v>37</v>
      </c>
      <c r="Q110" s="9">
        <v>1</v>
      </c>
      <c r="R110" s="21">
        <f t="shared" si="1"/>
        <v>25422653</v>
      </c>
      <c r="S110" s="21">
        <v>0</v>
      </c>
      <c r="T110" s="20">
        <v>0</v>
      </c>
      <c r="U110" s="20">
        <v>0</v>
      </c>
      <c r="V110" s="20">
        <v>0</v>
      </c>
      <c r="W110" s="20">
        <f>14200000+11222653</f>
        <v>25422653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</row>
    <row r="111" spans="1:33" ht="41.25" customHeight="1" x14ac:dyDescent="0.2">
      <c r="A111" s="6">
        <v>1</v>
      </c>
      <c r="B111" s="6" t="s">
        <v>27</v>
      </c>
      <c r="C111" s="6">
        <v>9</v>
      </c>
      <c r="D111" s="6" t="s">
        <v>153</v>
      </c>
      <c r="E111" s="6" t="s">
        <v>154</v>
      </c>
      <c r="F111" s="6" t="s">
        <v>182</v>
      </c>
      <c r="G111" s="6" t="s">
        <v>183</v>
      </c>
      <c r="H111" s="6" t="s">
        <v>664</v>
      </c>
      <c r="I111" s="7">
        <v>2020051290008</v>
      </c>
      <c r="J111" s="6">
        <v>3</v>
      </c>
      <c r="K111" s="6">
        <v>1943</v>
      </c>
      <c r="L111" s="6" t="s">
        <v>203</v>
      </c>
      <c r="M111" s="6" t="s">
        <v>34</v>
      </c>
      <c r="N111" s="9" t="s">
        <v>35</v>
      </c>
      <c r="O111" s="6" t="s">
        <v>204</v>
      </c>
      <c r="P111" s="6" t="s">
        <v>37</v>
      </c>
      <c r="Q111" s="6">
        <v>1</v>
      </c>
      <c r="R111" s="21">
        <f t="shared" ref="R111:R156" si="2">SUM(S111:AG111)</f>
        <v>319629711</v>
      </c>
      <c r="S111" s="21">
        <v>0</v>
      </c>
      <c r="T111" s="20">
        <v>0</v>
      </c>
      <c r="U111" s="20"/>
      <c r="V111" s="20"/>
      <c r="W111" s="20">
        <f>236009020+44055538+39565153</f>
        <v>319629711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</row>
    <row r="112" spans="1:33" ht="41.25" customHeight="1" x14ac:dyDescent="0.2">
      <c r="A112" s="6">
        <v>1</v>
      </c>
      <c r="B112" s="6" t="s">
        <v>27</v>
      </c>
      <c r="C112" s="6">
        <v>9</v>
      </c>
      <c r="D112" s="6" t="s">
        <v>153</v>
      </c>
      <c r="E112" s="6" t="s">
        <v>154</v>
      </c>
      <c r="F112" s="6" t="s">
        <v>182</v>
      </c>
      <c r="G112" s="6" t="s">
        <v>183</v>
      </c>
      <c r="H112" s="6" t="s">
        <v>664</v>
      </c>
      <c r="I112" s="7">
        <v>2020051290008</v>
      </c>
      <c r="J112" s="6">
        <v>3</v>
      </c>
      <c r="K112" s="6">
        <v>1943</v>
      </c>
      <c r="L112" s="6" t="s">
        <v>203</v>
      </c>
      <c r="M112" s="6" t="s">
        <v>34</v>
      </c>
      <c r="N112" s="9" t="s">
        <v>35</v>
      </c>
      <c r="O112" s="6" t="s">
        <v>204</v>
      </c>
      <c r="P112" s="6" t="s">
        <v>52</v>
      </c>
      <c r="Q112" s="6">
        <v>1</v>
      </c>
      <c r="R112" s="21">
        <f t="shared" si="2"/>
        <v>116103056</v>
      </c>
      <c r="S112" s="21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8">
        <f>22612076+93490980</f>
        <v>116103056</v>
      </c>
      <c r="AE112" s="20">
        <v>0</v>
      </c>
      <c r="AF112" s="20">
        <v>0</v>
      </c>
      <c r="AG112" s="20">
        <v>0</v>
      </c>
    </row>
    <row r="113" spans="1:33" ht="45" customHeight="1" x14ac:dyDescent="0.2">
      <c r="A113" s="6">
        <v>1</v>
      </c>
      <c r="B113" s="6" t="s">
        <v>27</v>
      </c>
      <c r="C113" s="6">
        <v>9</v>
      </c>
      <c r="D113" s="6" t="s">
        <v>153</v>
      </c>
      <c r="E113" s="6" t="s">
        <v>154</v>
      </c>
      <c r="F113" s="6" t="s">
        <v>182</v>
      </c>
      <c r="G113" s="6" t="s">
        <v>183</v>
      </c>
      <c r="H113" s="6" t="s">
        <v>664</v>
      </c>
      <c r="I113" s="7">
        <v>2020051290008</v>
      </c>
      <c r="J113" s="6">
        <v>4</v>
      </c>
      <c r="K113" s="6">
        <v>1944</v>
      </c>
      <c r="L113" s="6" t="s">
        <v>205</v>
      </c>
      <c r="M113" s="6" t="s">
        <v>34</v>
      </c>
      <c r="N113" s="9" t="s">
        <v>35</v>
      </c>
      <c r="O113" s="6" t="s">
        <v>204</v>
      </c>
      <c r="P113" s="6" t="s">
        <v>37</v>
      </c>
      <c r="Q113" s="6">
        <v>1</v>
      </c>
      <c r="R113" s="21">
        <f t="shared" si="2"/>
        <v>171469913</v>
      </c>
      <c r="S113" s="21">
        <v>0</v>
      </c>
      <c r="T113" s="20">
        <v>0</v>
      </c>
      <c r="U113" s="20"/>
      <c r="V113" s="20"/>
      <c r="W113" s="8">
        <f>44055538+87849222+39565153</f>
        <v>171469913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</row>
    <row r="114" spans="1:33" ht="38.25" customHeight="1" x14ac:dyDescent="0.2">
      <c r="A114" s="6">
        <v>1</v>
      </c>
      <c r="B114" s="6" t="s">
        <v>27</v>
      </c>
      <c r="C114" s="6">
        <v>10</v>
      </c>
      <c r="D114" s="6" t="s">
        <v>206</v>
      </c>
      <c r="E114" s="6" t="s">
        <v>207</v>
      </c>
      <c r="F114" s="6" t="s">
        <v>208</v>
      </c>
      <c r="G114" s="6" t="s">
        <v>209</v>
      </c>
      <c r="H114" s="6" t="s">
        <v>63</v>
      </c>
      <c r="I114" s="7">
        <v>2020051290038</v>
      </c>
      <c r="J114" s="6">
        <v>1</v>
      </c>
      <c r="K114" s="6">
        <v>11011</v>
      </c>
      <c r="L114" s="6" t="s">
        <v>210</v>
      </c>
      <c r="M114" s="6" t="s">
        <v>34</v>
      </c>
      <c r="N114" s="9" t="s">
        <v>179</v>
      </c>
      <c r="O114" s="6" t="s">
        <v>65</v>
      </c>
      <c r="P114" s="6" t="s">
        <v>67</v>
      </c>
      <c r="Q114" s="6">
        <v>4</v>
      </c>
      <c r="R114" s="21">
        <f t="shared" si="2"/>
        <v>205840634</v>
      </c>
      <c r="S114" s="21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f>81293370+124547264</f>
        <v>205840634</v>
      </c>
      <c r="AF114" s="20">
        <v>0</v>
      </c>
      <c r="AG114" s="20">
        <v>0</v>
      </c>
    </row>
    <row r="115" spans="1:33" ht="38.25" customHeight="1" x14ac:dyDescent="0.2">
      <c r="A115" s="6">
        <v>1</v>
      </c>
      <c r="B115" s="6" t="s">
        <v>27</v>
      </c>
      <c r="C115" s="6">
        <v>10</v>
      </c>
      <c r="D115" s="6" t="s">
        <v>206</v>
      </c>
      <c r="E115" s="6" t="s">
        <v>207</v>
      </c>
      <c r="F115" s="6" t="s">
        <v>208</v>
      </c>
      <c r="G115" s="6" t="s">
        <v>209</v>
      </c>
      <c r="H115" s="6" t="s">
        <v>63</v>
      </c>
      <c r="I115" s="7">
        <v>2020051290038</v>
      </c>
      <c r="J115" s="6">
        <v>2</v>
      </c>
      <c r="K115" s="6">
        <v>11012</v>
      </c>
      <c r="L115" s="6" t="s">
        <v>211</v>
      </c>
      <c r="M115" s="6" t="s">
        <v>34</v>
      </c>
      <c r="N115" s="9" t="s">
        <v>35</v>
      </c>
      <c r="O115" s="6" t="s">
        <v>65</v>
      </c>
      <c r="P115" s="6" t="s">
        <v>67</v>
      </c>
      <c r="Q115" s="6">
        <v>1</v>
      </c>
      <c r="R115" s="21">
        <f t="shared" si="2"/>
        <v>97793370</v>
      </c>
      <c r="S115" s="21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f>81293370+16500000</f>
        <v>97793370</v>
      </c>
      <c r="AF115" s="20">
        <v>0</v>
      </c>
      <c r="AG115" s="20">
        <v>0</v>
      </c>
    </row>
    <row r="116" spans="1:33" ht="38.25" customHeight="1" x14ac:dyDescent="0.2">
      <c r="A116" s="6">
        <v>1</v>
      </c>
      <c r="B116" s="6" t="s">
        <v>27</v>
      </c>
      <c r="C116" s="6">
        <v>10</v>
      </c>
      <c r="D116" s="6" t="s">
        <v>206</v>
      </c>
      <c r="E116" s="6" t="s">
        <v>207</v>
      </c>
      <c r="F116" s="6" t="s">
        <v>208</v>
      </c>
      <c r="G116" s="6" t="s">
        <v>209</v>
      </c>
      <c r="H116" s="6" t="s">
        <v>63</v>
      </c>
      <c r="I116" s="7">
        <v>2020051290038</v>
      </c>
      <c r="J116" s="6">
        <v>3</v>
      </c>
      <c r="K116" s="6">
        <v>11013</v>
      </c>
      <c r="L116" s="6" t="s">
        <v>212</v>
      </c>
      <c r="M116" s="6" t="s">
        <v>34</v>
      </c>
      <c r="N116" s="9" t="s">
        <v>35</v>
      </c>
      <c r="O116" s="6" t="s">
        <v>65</v>
      </c>
      <c r="P116" s="6" t="s">
        <v>67</v>
      </c>
      <c r="Q116" s="6">
        <v>28</v>
      </c>
      <c r="R116" s="21">
        <f t="shared" si="2"/>
        <v>136793370</v>
      </c>
      <c r="S116" s="21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f>81293370+55500000</f>
        <v>136793370</v>
      </c>
      <c r="AF116" s="20">
        <v>0</v>
      </c>
      <c r="AG116" s="20">
        <v>0</v>
      </c>
    </row>
    <row r="117" spans="1:33" ht="38.25" customHeight="1" x14ac:dyDescent="0.2">
      <c r="A117" s="6">
        <v>1</v>
      </c>
      <c r="B117" s="6" t="s">
        <v>27</v>
      </c>
      <c r="C117" s="6">
        <v>10</v>
      </c>
      <c r="D117" s="6" t="s">
        <v>206</v>
      </c>
      <c r="E117" s="6" t="s">
        <v>207</v>
      </c>
      <c r="F117" s="6" t="s">
        <v>213</v>
      </c>
      <c r="G117" s="6" t="s">
        <v>214</v>
      </c>
      <c r="H117" s="6" t="s">
        <v>63</v>
      </c>
      <c r="I117" s="7">
        <v>2020051290038</v>
      </c>
      <c r="J117" s="6">
        <v>1</v>
      </c>
      <c r="K117" s="6">
        <v>11021</v>
      </c>
      <c r="L117" s="6" t="s">
        <v>215</v>
      </c>
      <c r="M117" s="6" t="s">
        <v>34</v>
      </c>
      <c r="N117" s="9" t="s">
        <v>35</v>
      </c>
      <c r="O117" s="6" t="s">
        <v>65</v>
      </c>
      <c r="P117" s="6" t="s">
        <v>67</v>
      </c>
      <c r="Q117" s="6">
        <v>2</v>
      </c>
      <c r="R117" s="21">
        <f t="shared" si="2"/>
        <v>162340348</v>
      </c>
      <c r="S117" s="21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f>81293370+81046978</f>
        <v>162340348</v>
      </c>
      <c r="AF117" s="20">
        <v>0</v>
      </c>
      <c r="AG117" s="20">
        <v>0</v>
      </c>
    </row>
    <row r="118" spans="1:33" ht="38.25" customHeight="1" x14ac:dyDescent="0.2">
      <c r="A118" s="6">
        <v>1</v>
      </c>
      <c r="B118" s="6" t="s">
        <v>27</v>
      </c>
      <c r="C118" s="6">
        <v>10</v>
      </c>
      <c r="D118" s="6" t="s">
        <v>206</v>
      </c>
      <c r="E118" s="11" t="s">
        <v>207</v>
      </c>
      <c r="F118" s="6" t="s">
        <v>216</v>
      </c>
      <c r="G118" s="6" t="s">
        <v>217</v>
      </c>
      <c r="H118" s="6" t="s">
        <v>63</v>
      </c>
      <c r="I118" s="7">
        <v>2020051290038</v>
      </c>
      <c r="J118" s="6">
        <v>1</v>
      </c>
      <c r="K118" s="6">
        <v>11031</v>
      </c>
      <c r="L118" s="6" t="s">
        <v>218</v>
      </c>
      <c r="M118" s="6" t="s">
        <v>34</v>
      </c>
      <c r="N118" s="9" t="s">
        <v>35</v>
      </c>
      <c r="O118" s="6" t="s">
        <v>65</v>
      </c>
      <c r="P118" s="6" t="s">
        <v>67</v>
      </c>
      <c r="Q118" s="6">
        <v>2</v>
      </c>
      <c r="R118" s="21">
        <f t="shared" si="2"/>
        <v>124271370</v>
      </c>
      <c r="S118" s="21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f>81293370+42978000</f>
        <v>124271370</v>
      </c>
      <c r="AF118" s="20">
        <v>0</v>
      </c>
      <c r="AG118" s="20">
        <v>0</v>
      </c>
    </row>
    <row r="119" spans="1:33" ht="38.25" customHeight="1" x14ac:dyDescent="0.2">
      <c r="A119" s="6">
        <v>1</v>
      </c>
      <c r="B119" s="6" t="s">
        <v>27</v>
      </c>
      <c r="C119" s="6">
        <v>10</v>
      </c>
      <c r="D119" s="6" t="s">
        <v>206</v>
      </c>
      <c r="E119" s="11" t="s">
        <v>207</v>
      </c>
      <c r="F119" s="6" t="s">
        <v>219</v>
      </c>
      <c r="G119" s="6" t="s">
        <v>220</v>
      </c>
      <c r="H119" s="6" t="s">
        <v>63</v>
      </c>
      <c r="I119" s="7">
        <v>2020051290038</v>
      </c>
      <c r="J119" s="6">
        <v>1</v>
      </c>
      <c r="K119" s="6">
        <v>11041</v>
      </c>
      <c r="L119" s="6" t="s">
        <v>221</v>
      </c>
      <c r="M119" s="6" t="s">
        <v>34</v>
      </c>
      <c r="N119" s="9" t="s">
        <v>35</v>
      </c>
      <c r="O119" s="6" t="s">
        <v>65</v>
      </c>
      <c r="P119" s="6" t="s">
        <v>67</v>
      </c>
      <c r="Q119" s="6">
        <v>1</v>
      </c>
      <c r="R119" s="21">
        <f t="shared" si="2"/>
        <v>116293370</v>
      </c>
      <c r="S119" s="21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f>81293370+35000000</f>
        <v>116293370</v>
      </c>
      <c r="AF119" s="20">
        <v>0</v>
      </c>
      <c r="AG119" s="20">
        <v>0</v>
      </c>
    </row>
    <row r="120" spans="1:33" ht="38.25" customHeight="1" x14ac:dyDescent="0.2">
      <c r="A120" s="6">
        <v>1</v>
      </c>
      <c r="B120" s="6" t="s">
        <v>27</v>
      </c>
      <c r="C120" s="6">
        <v>10</v>
      </c>
      <c r="D120" s="6" t="s">
        <v>206</v>
      </c>
      <c r="E120" s="11" t="s">
        <v>207</v>
      </c>
      <c r="F120" s="6" t="s">
        <v>219</v>
      </c>
      <c r="G120" s="6" t="s">
        <v>220</v>
      </c>
      <c r="H120" s="6" t="s">
        <v>63</v>
      </c>
      <c r="I120" s="7">
        <v>2020051290038</v>
      </c>
      <c r="J120" s="6">
        <v>2</v>
      </c>
      <c r="K120" s="6">
        <v>11042</v>
      </c>
      <c r="L120" s="6" t="s">
        <v>222</v>
      </c>
      <c r="M120" s="6" t="s">
        <v>34</v>
      </c>
      <c r="N120" s="9" t="s">
        <v>35</v>
      </c>
      <c r="O120" s="6" t="s">
        <v>65</v>
      </c>
      <c r="P120" s="6" t="s">
        <v>67</v>
      </c>
      <c r="Q120" s="6">
        <v>1</v>
      </c>
      <c r="R120" s="21">
        <f t="shared" si="2"/>
        <v>159900970</v>
      </c>
      <c r="S120" s="21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f>81293370+78607600</f>
        <v>159900970</v>
      </c>
      <c r="AF120" s="20">
        <v>0</v>
      </c>
      <c r="AG120" s="20">
        <v>0</v>
      </c>
    </row>
    <row r="121" spans="1:33" ht="38.25" customHeight="1" x14ac:dyDescent="0.2">
      <c r="A121" s="6">
        <v>1</v>
      </c>
      <c r="B121" s="6" t="s">
        <v>27</v>
      </c>
      <c r="C121" s="6">
        <v>10</v>
      </c>
      <c r="D121" s="6" t="s">
        <v>206</v>
      </c>
      <c r="E121" s="11" t="s">
        <v>207</v>
      </c>
      <c r="F121" s="6" t="s">
        <v>223</v>
      </c>
      <c r="G121" s="6" t="s">
        <v>224</v>
      </c>
      <c r="H121" s="6" t="s">
        <v>63</v>
      </c>
      <c r="I121" s="7">
        <v>2020051290038</v>
      </c>
      <c r="J121" s="6">
        <v>1</v>
      </c>
      <c r="K121" s="6">
        <v>11051</v>
      </c>
      <c r="L121" s="6" t="s">
        <v>225</v>
      </c>
      <c r="M121" s="6" t="s">
        <v>34</v>
      </c>
      <c r="N121" s="9" t="s">
        <v>35</v>
      </c>
      <c r="O121" s="6" t="s">
        <v>65</v>
      </c>
      <c r="P121" s="6" t="s">
        <v>67</v>
      </c>
      <c r="Q121" s="6">
        <v>1</v>
      </c>
      <c r="R121" s="21">
        <f t="shared" si="2"/>
        <v>112726219</v>
      </c>
      <c r="S121" s="21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f>81293370+31432849</f>
        <v>112726219</v>
      </c>
      <c r="AF121" s="20">
        <v>0</v>
      </c>
      <c r="AG121" s="20">
        <v>0</v>
      </c>
    </row>
    <row r="122" spans="1:33" ht="38.25" customHeight="1" x14ac:dyDescent="0.2">
      <c r="A122" s="6">
        <v>1</v>
      </c>
      <c r="B122" s="6" t="s">
        <v>27</v>
      </c>
      <c r="C122" s="6">
        <v>10</v>
      </c>
      <c r="D122" s="6" t="s">
        <v>206</v>
      </c>
      <c r="E122" s="11" t="s">
        <v>207</v>
      </c>
      <c r="F122" s="6" t="s">
        <v>223</v>
      </c>
      <c r="G122" s="6" t="s">
        <v>224</v>
      </c>
      <c r="H122" s="6" t="s">
        <v>63</v>
      </c>
      <c r="I122" s="7">
        <v>2020051290038</v>
      </c>
      <c r="J122" s="6">
        <v>1</v>
      </c>
      <c r="K122" s="6">
        <v>11051</v>
      </c>
      <c r="L122" s="6" t="s">
        <v>225</v>
      </c>
      <c r="M122" s="6" t="s">
        <v>34</v>
      </c>
      <c r="N122" s="9" t="s">
        <v>35</v>
      </c>
      <c r="O122" s="6" t="s">
        <v>65</v>
      </c>
      <c r="P122" s="6" t="s">
        <v>67</v>
      </c>
      <c r="Q122" s="6">
        <v>1</v>
      </c>
      <c r="R122" s="21">
        <f t="shared" si="2"/>
        <v>96139560</v>
      </c>
      <c r="S122" s="21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f>81293370+14846190</f>
        <v>96139560</v>
      </c>
      <c r="AF122" s="20">
        <v>0</v>
      </c>
      <c r="AG122" s="20">
        <v>0</v>
      </c>
    </row>
    <row r="123" spans="1:33" ht="38.25" customHeight="1" x14ac:dyDescent="0.2">
      <c r="A123" s="6">
        <v>1</v>
      </c>
      <c r="B123" s="6" t="s">
        <v>27</v>
      </c>
      <c r="C123" s="6">
        <v>10</v>
      </c>
      <c r="D123" s="6" t="s">
        <v>206</v>
      </c>
      <c r="E123" s="6" t="s">
        <v>207</v>
      </c>
      <c r="F123" s="6" t="s">
        <v>226</v>
      </c>
      <c r="G123" s="6" t="s">
        <v>227</v>
      </c>
      <c r="H123" s="6" t="s">
        <v>63</v>
      </c>
      <c r="I123" s="7">
        <v>2020051290038</v>
      </c>
      <c r="J123" s="6">
        <v>1</v>
      </c>
      <c r="K123" s="6">
        <v>11061</v>
      </c>
      <c r="L123" s="6" t="s">
        <v>228</v>
      </c>
      <c r="M123" s="6" t="s">
        <v>34</v>
      </c>
      <c r="N123" s="9" t="s">
        <v>35</v>
      </c>
      <c r="O123" s="6" t="s">
        <v>65</v>
      </c>
      <c r="P123" s="6" t="s">
        <v>67</v>
      </c>
      <c r="Q123" s="6">
        <v>1</v>
      </c>
      <c r="R123" s="21">
        <f t="shared" si="2"/>
        <v>98639170</v>
      </c>
      <c r="S123" s="21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f>81293370+17345800</f>
        <v>98639170</v>
      </c>
      <c r="AF123" s="20">
        <v>0</v>
      </c>
      <c r="AG123" s="20">
        <v>0</v>
      </c>
    </row>
    <row r="124" spans="1:33" ht="38.25" customHeight="1" x14ac:dyDescent="0.2">
      <c r="A124" s="6">
        <v>1</v>
      </c>
      <c r="B124" s="6" t="s">
        <v>27</v>
      </c>
      <c r="C124" s="6">
        <v>10</v>
      </c>
      <c r="D124" s="6" t="s">
        <v>206</v>
      </c>
      <c r="E124" s="6" t="s">
        <v>207</v>
      </c>
      <c r="F124" s="6" t="s">
        <v>229</v>
      </c>
      <c r="G124" s="6" t="s">
        <v>230</v>
      </c>
      <c r="H124" s="6" t="s">
        <v>63</v>
      </c>
      <c r="I124" s="7">
        <v>2020051290038</v>
      </c>
      <c r="J124" s="6">
        <v>1</v>
      </c>
      <c r="K124" s="6">
        <v>11071</v>
      </c>
      <c r="L124" s="6" t="s">
        <v>231</v>
      </c>
      <c r="M124" s="6" t="s">
        <v>34</v>
      </c>
      <c r="N124" s="9" t="s">
        <v>35</v>
      </c>
      <c r="O124" s="6" t="s">
        <v>65</v>
      </c>
      <c r="P124" s="6" t="s">
        <v>67</v>
      </c>
      <c r="Q124" s="6">
        <v>1</v>
      </c>
      <c r="R124" s="21">
        <f t="shared" si="2"/>
        <v>103393370</v>
      </c>
      <c r="S124" s="21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f>81293370+22100000</f>
        <v>103393370</v>
      </c>
      <c r="AF124" s="20">
        <v>0</v>
      </c>
      <c r="AG124" s="20">
        <v>0</v>
      </c>
    </row>
    <row r="125" spans="1:33" ht="38.25" customHeight="1" x14ac:dyDescent="0.2">
      <c r="A125" s="6">
        <v>1</v>
      </c>
      <c r="B125" s="6" t="s">
        <v>27</v>
      </c>
      <c r="C125" s="6">
        <v>10</v>
      </c>
      <c r="D125" s="6" t="s">
        <v>206</v>
      </c>
      <c r="E125" s="6" t="s">
        <v>207</v>
      </c>
      <c r="F125" s="6" t="s">
        <v>229</v>
      </c>
      <c r="G125" s="6" t="s">
        <v>230</v>
      </c>
      <c r="H125" s="6" t="s">
        <v>63</v>
      </c>
      <c r="I125" s="7">
        <v>2020051290038</v>
      </c>
      <c r="J125" s="6">
        <v>2</v>
      </c>
      <c r="K125" s="6">
        <v>11072</v>
      </c>
      <c r="L125" s="6" t="s">
        <v>232</v>
      </c>
      <c r="M125" s="6" t="s">
        <v>34</v>
      </c>
      <c r="N125" s="9" t="s">
        <v>179</v>
      </c>
      <c r="O125" s="6" t="s">
        <v>65</v>
      </c>
      <c r="P125" s="1" t="s">
        <v>680</v>
      </c>
      <c r="Q125" s="6">
        <v>312</v>
      </c>
      <c r="R125" s="21">
        <f t="shared" si="2"/>
        <v>81500000</v>
      </c>
      <c r="S125" s="21">
        <v>0</v>
      </c>
      <c r="T125" s="20">
        <v>81500000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</row>
    <row r="126" spans="1:33" ht="38.25" customHeight="1" x14ac:dyDescent="0.2">
      <c r="A126" s="6">
        <v>1</v>
      </c>
      <c r="B126" s="6" t="s">
        <v>27</v>
      </c>
      <c r="C126" s="6">
        <v>10</v>
      </c>
      <c r="D126" s="6" t="s">
        <v>206</v>
      </c>
      <c r="E126" s="6" t="s">
        <v>207</v>
      </c>
      <c r="F126" s="6" t="s">
        <v>229</v>
      </c>
      <c r="G126" s="6" t="s">
        <v>230</v>
      </c>
      <c r="H126" s="6" t="s">
        <v>63</v>
      </c>
      <c r="I126" s="7">
        <v>2020051290038</v>
      </c>
      <c r="J126" s="6">
        <v>3</v>
      </c>
      <c r="K126" s="6">
        <v>11073</v>
      </c>
      <c r="L126" s="6" t="s">
        <v>233</v>
      </c>
      <c r="M126" s="6" t="s">
        <v>34</v>
      </c>
      <c r="N126" s="9" t="s">
        <v>35</v>
      </c>
      <c r="O126" s="6" t="s">
        <v>65</v>
      </c>
      <c r="P126" s="6" t="s">
        <v>67</v>
      </c>
      <c r="Q126" s="6">
        <v>4</v>
      </c>
      <c r="R126" s="21">
        <f t="shared" si="2"/>
        <v>116949209</v>
      </c>
      <c r="S126" s="21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f>81293370+35655839</f>
        <v>116949209</v>
      </c>
      <c r="AF126" s="20">
        <v>0</v>
      </c>
      <c r="AG126" s="20">
        <v>0</v>
      </c>
    </row>
    <row r="127" spans="1:33" ht="38.25" customHeight="1" x14ac:dyDescent="0.2">
      <c r="A127" s="6">
        <v>1</v>
      </c>
      <c r="B127" s="6" t="s">
        <v>27</v>
      </c>
      <c r="C127" s="6">
        <v>10</v>
      </c>
      <c r="D127" s="6" t="s">
        <v>206</v>
      </c>
      <c r="E127" s="6" t="s">
        <v>207</v>
      </c>
      <c r="F127" s="6" t="s">
        <v>229</v>
      </c>
      <c r="G127" s="6" t="s">
        <v>230</v>
      </c>
      <c r="H127" s="6" t="s">
        <v>63</v>
      </c>
      <c r="I127" s="7">
        <v>2020051290038</v>
      </c>
      <c r="J127" s="6">
        <v>4</v>
      </c>
      <c r="K127" s="6">
        <v>11074</v>
      </c>
      <c r="L127" s="6" t="s">
        <v>234</v>
      </c>
      <c r="M127" s="6" t="s">
        <v>34</v>
      </c>
      <c r="N127" s="9" t="s">
        <v>35</v>
      </c>
      <c r="O127" s="6" t="s">
        <v>65</v>
      </c>
      <c r="P127" s="1" t="s">
        <v>680</v>
      </c>
      <c r="Q127" s="6">
        <v>10</v>
      </c>
      <c r="R127" s="21">
        <f t="shared" si="2"/>
        <v>60140996</v>
      </c>
      <c r="S127" s="21">
        <v>0</v>
      </c>
      <c r="T127" s="20">
        <v>60140996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</row>
    <row r="128" spans="1:33" ht="38.25" customHeight="1" x14ac:dyDescent="0.2">
      <c r="A128" s="6">
        <v>1</v>
      </c>
      <c r="B128" s="6" t="s">
        <v>27</v>
      </c>
      <c r="C128" s="6">
        <v>10</v>
      </c>
      <c r="D128" s="6" t="s">
        <v>206</v>
      </c>
      <c r="E128" s="6" t="s">
        <v>207</v>
      </c>
      <c r="F128" s="6" t="s">
        <v>229</v>
      </c>
      <c r="G128" s="6" t="s">
        <v>230</v>
      </c>
      <c r="H128" s="6" t="s">
        <v>63</v>
      </c>
      <c r="I128" s="7">
        <v>2020051290038</v>
      </c>
      <c r="J128" s="6">
        <v>6</v>
      </c>
      <c r="K128" s="6">
        <v>11076</v>
      </c>
      <c r="L128" s="6" t="s">
        <v>235</v>
      </c>
      <c r="M128" s="6" t="s">
        <v>34</v>
      </c>
      <c r="N128" s="9" t="s">
        <v>35</v>
      </c>
      <c r="O128" s="6" t="s">
        <v>65</v>
      </c>
      <c r="P128" s="6" t="s">
        <v>67</v>
      </c>
      <c r="Q128" s="6">
        <v>1</v>
      </c>
      <c r="R128" s="21">
        <f t="shared" si="2"/>
        <v>111993370</v>
      </c>
      <c r="S128" s="21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f>81293370+30700000</f>
        <v>111993370</v>
      </c>
      <c r="AF128" s="20">
        <v>0</v>
      </c>
      <c r="AG128" s="20">
        <v>0</v>
      </c>
    </row>
    <row r="129" spans="1:33" ht="38.25" customHeight="1" x14ac:dyDescent="0.2">
      <c r="A129" s="6">
        <v>1</v>
      </c>
      <c r="B129" s="6" t="s">
        <v>27</v>
      </c>
      <c r="C129" s="6">
        <v>10</v>
      </c>
      <c r="D129" s="6" t="s">
        <v>206</v>
      </c>
      <c r="E129" s="6" t="s">
        <v>207</v>
      </c>
      <c r="F129" s="6" t="s">
        <v>229</v>
      </c>
      <c r="G129" s="6" t="s">
        <v>230</v>
      </c>
      <c r="H129" s="6" t="s">
        <v>63</v>
      </c>
      <c r="I129" s="7">
        <v>2020051290038</v>
      </c>
      <c r="J129" s="6">
        <v>6</v>
      </c>
      <c r="K129" s="6">
        <v>11076</v>
      </c>
      <c r="L129" s="6" t="s">
        <v>235</v>
      </c>
      <c r="M129" s="6" t="s">
        <v>34</v>
      </c>
      <c r="N129" s="9" t="s">
        <v>35</v>
      </c>
      <c r="O129" s="6" t="s">
        <v>65</v>
      </c>
      <c r="P129" s="6" t="s">
        <v>67</v>
      </c>
      <c r="Q129" s="6">
        <v>1</v>
      </c>
      <c r="R129" s="21">
        <f t="shared" si="2"/>
        <v>110716119</v>
      </c>
      <c r="S129" s="21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f>81293370+29422749</f>
        <v>110716119</v>
      </c>
      <c r="AF129" s="20">
        <v>0</v>
      </c>
      <c r="AG129" s="20">
        <v>0</v>
      </c>
    </row>
    <row r="130" spans="1:33" ht="38.25" customHeight="1" x14ac:dyDescent="0.2">
      <c r="A130" s="6">
        <v>1</v>
      </c>
      <c r="B130" s="6" t="s">
        <v>27</v>
      </c>
      <c r="C130" s="6">
        <v>10</v>
      </c>
      <c r="D130" s="6" t="s">
        <v>206</v>
      </c>
      <c r="E130" s="6" t="s">
        <v>207</v>
      </c>
      <c r="F130" s="6" t="s">
        <v>236</v>
      </c>
      <c r="G130" s="6" t="s">
        <v>237</v>
      </c>
      <c r="H130" s="6" t="s">
        <v>63</v>
      </c>
      <c r="I130" s="7">
        <v>2020051290038</v>
      </c>
      <c r="J130" s="6">
        <v>1</v>
      </c>
      <c r="K130" s="6">
        <v>11081</v>
      </c>
      <c r="L130" s="6" t="s">
        <v>238</v>
      </c>
      <c r="M130" s="6" t="s">
        <v>46</v>
      </c>
      <c r="N130" s="9" t="s">
        <v>179</v>
      </c>
      <c r="O130" s="6" t="s">
        <v>65</v>
      </c>
      <c r="P130" s="6" t="s">
        <v>67</v>
      </c>
      <c r="Q130" s="9">
        <v>1</v>
      </c>
      <c r="R130" s="21">
        <f t="shared" si="2"/>
        <v>120543370</v>
      </c>
      <c r="S130" s="21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f>81293370+39250000</f>
        <v>120543370</v>
      </c>
      <c r="AF130" s="20">
        <v>0</v>
      </c>
      <c r="AG130" s="20">
        <v>0</v>
      </c>
    </row>
    <row r="131" spans="1:33" ht="38.25" customHeight="1" x14ac:dyDescent="0.2">
      <c r="A131" s="6">
        <v>1</v>
      </c>
      <c r="B131" s="6" t="s">
        <v>27</v>
      </c>
      <c r="C131" s="6">
        <v>10</v>
      </c>
      <c r="D131" s="6" t="s">
        <v>206</v>
      </c>
      <c r="E131" s="6" t="s">
        <v>207</v>
      </c>
      <c r="F131" s="6" t="s">
        <v>236</v>
      </c>
      <c r="G131" s="6" t="s">
        <v>237</v>
      </c>
      <c r="H131" s="6" t="s">
        <v>63</v>
      </c>
      <c r="I131" s="7">
        <v>2020051290038</v>
      </c>
      <c r="J131" s="6">
        <v>2</v>
      </c>
      <c r="K131" s="6">
        <v>11082</v>
      </c>
      <c r="L131" s="6" t="s">
        <v>239</v>
      </c>
      <c r="M131" s="6" t="s">
        <v>34</v>
      </c>
      <c r="N131" s="9" t="s">
        <v>35</v>
      </c>
      <c r="O131" s="6" t="s">
        <v>65</v>
      </c>
      <c r="P131" s="6" t="s">
        <v>67</v>
      </c>
      <c r="Q131" s="6">
        <v>1</v>
      </c>
      <c r="R131" s="21">
        <f t="shared" si="2"/>
        <v>106293370</v>
      </c>
      <c r="S131" s="21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f>81293370+25000000</f>
        <v>106293370</v>
      </c>
      <c r="AF131" s="20">
        <v>0</v>
      </c>
      <c r="AG131" s="20">
        <v>0</v>
      </c>
    </row>
    <row r="132" spans="1:33" ht="38.25" customHeight="1" x14ac:dyDescent="0.2">
      <c r="A132" s="6">
        <v>1</v>
      </c>
      <c r="B132" s="6" t="s">
        <v>27</v>
      </c>
      <c r="C132" s="6">
        <v>10</v>
      </c>
      <c r="D132" s="6" t="s">
        <v>206</v>
      </c>
      <c r="E132" s="6" t="s">
        <v>207</v>
      </c>
      <c r="F132" s="6" t="s">
        <v>236</v>
      </c>
      <c r="G132" s="6" t="s">
        <v>237</v>
      </c>
      <c r="H132" s="6" t="s">
        <v>63</v>
      </c>
      <c r="I132" s="7">
        <v>2020051290038</v>
      </c>
      <c r="J132" s="6">
        <v>3</v>
      </c>
      <c r="K132" s="6">
        <v>11083</v>
      </c>
      <c r="L132" s="6" t="s">
        <v>240</v>
      </c>
      <c r="M132" s="6" t="s">
        <v>34</v>
      </c>
      <c r="N132" s="9" t="s">
        <v>35</v>
      </c>
      <c r="O132" s="6" t="s">
        <v>65</v>
      </c>
      <c r="P132" s="6" t="s">
        <v>67</v>
      </c>
      <c r="Q132" s="6">
        <v>12</v>
      </c>
      <c r="R132" s="21">
        <f t="shared" si="2"/>
        <v>108978026</v>
      </c>
      <c r="S132" s="21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f>81293370+27684656</f>
        <v>108978026</v>
      </c>
      <c r="AF132" s="20">
        <v>0</v>
      </c>
      <c r="AG132" s="20">
        <v>0</v>
      </c>
    </row>
    <row r="133" spans="1:33" ht="30" customHeight="1" x14ac:dyDescent="0.2">
      <c r="A133" s="6">
        <v>1</v>
      </c>
      <c r="B133" s="6" t="s">
        <v>27</v>
      </c>
      <c r="C133" s="6">
        <v>10</v>
      </c>
      <c r="D133" s="6" t="s">
        <v>206</v>
      </c>
      <c r="E133" s="6" t="s">
        <v>207</v>
      </c>
      <c r="F133" s="6" t="s">
        <v>241</v>
      </c>
      <c r="G133" s="6" t="s">
        <v>242</v>
      </c>
      <c r="H133" s="6" t="s">
        <v>243</v>
      </c>
      <c r="I133" s="7">
        <v>2020051290016</v>
      </c>
      <c r="J133" s="6">
        <v>1</v>
      </c>
      <c r="K133" s="6">
        <v>11091</v>
      </c>
      <c r="L133" s="6" t="s">
        <v>244</v>
      </c>
      <c r="M133" s="6" t="s">
        <v>34</v>
      </c>
      <c r="N133" s="9" t="s">
        <v>35</v>
      </c>
      <c r="O133" s="6" t="s">
        <v>65</v>
      </c>
      <c r="P133" s="1" t="s">
        <v>680</v>
      </c>
      <c r="Q133" s="6">
        <v>1</v>
      </c>
      <c r="R133" s="21">
        <f t="shared" si="2"/>
        <v>878940248</v>
      </c>
      <c r="S133" s="21">
        <v>0</v>
      </c>
      <c r="T133" s="20">
        <v>878940248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</row>
    <row r="134" spans="1:33" ht="30" customHeight="1" x14ac:dyDescent="0.2">
      <c r="A134" s="6">
        <v>1</v>
      </c>
      <c r="B134" s="6" t="s">
        <v>27</v>
      </c>
      <c r="C134" s="6">
        <v>10</v>
      </c>
      <c r="D134" s="6" t="s">
        <v>206</v>
      </c>
      <c r="E134" s="6" t="s">
        <v>207</v>
      </c>
      <c r="F134" s="6" t="s">
        <v>241</v>
      </c>
      <c r="G134" s="6" t="s">
        <v>242</v>
      </c>
      <c r="H134" s="6" t="s">
        <v>243</v>
      </c>
      <c r="I134" s="7">
        <v>2020051290016</v>
      </c>
      <c r="J134" s="6">
        <v>1</v>
      </c>
      <c r="K134" s="6">
        <v>11091</v>
      </c>
      <c r="L134" s="6" t="s">
        <v>244</v>
      </c>
      <c r="M134" s="6" t="s">
        <v>34</v>
      </c>
      <c r="N134" s="9" t="s">
        <v>35</v>
      </c>
      <c r="O134" s="6" t="s">
        <v>65</v>
      </c>
      <c r="P134" s="6" t="s">
        <v>67</v>
      </c>
      <c r="Q134" s="6">
        <v>1</v>
      </c>
      <c r="R134" s="21">
        <f t="shared" si="2"/>
        <v>237520130</v>
      </c>
      <c r="S134" s="21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8">
        <f>81293370+156226760</f>
        <v>237520130</v>
      </c>
      <c r="AF134" s="20">
        <v>0</v>
      </c>
      <c r="AG134" s="20">
        <v>0</v>
      </c>
    </row>
    <row r="135" spans="1:33" ht="30" customHeight="1" x14ac:dyDescent="0.2">
      <c r="A135" s="6">
        <v>1</v>
      </c>
      <c r="B135" s="6" t="s">
        <v>27</v>
      </c>
      <c r="C135" s="6">
        <v>10</v>
      </c>
      <c r="D135" s="6" t="s">
        <v>206</v>
      </c>
      <c r="E135" s="6" t="s">
        <v>207</v>
      </c>
      <c r="F135" s="6" t="s">
        <v>241</v>
      </c>
      <c r="G135" s="6" t="s">
        <v>242</v>
      </c>
      <c r="H135" s="6" t="s">
        <v>245</v>
      </c>
      <c r="I135" s="7">
        <v>2020051290041</v>
      </c>
      <c r="J135" s="6">
        <v>2</v>
      </c>
      <c r="K135" s="6">
        <v>11092</v>
      </c>
      <c r="L135" s="6" t="s">
        <v>246</v>
      </c>
      <c r="M135" s="6" t="s">
        <v>34</v>
      </c>
      <c r="N135" s="9" t="s">
        <v>35</v>
      </c>
      <c r="O135" s="6" t="s">
        <v>65</v>
      </c>
      <c r="P135" s="1" t="s">
        <v>680</v>
      </c>
      <c r="Q135" s="6">
        <v>1</v>
      </c>
      <c r="R135" s="21">
        <f t="shared" si="2"/>
        <v>5954351376</v>
      </c>
      <c r="S135" s="21">
        <v>0</v>
      </c>
      <c r="T135" s="8">
        <f>2326607843+432317200+3195426333</f>
        <v>5954351376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</row>
    <row r="136" spans="1:33" ht="30" customHeight="1" x14ac:dyDescent="0.2">
      <c r="A136" s="6">
        <v>1</v>
      </c>
      <c r="B136" s="6" t="s">
        <v>27</v>
      </c>
      <c r="C136" s="6">
        <v>10</v>
      </c>
      <c r="D136" s="6" t="s">
        <v>206</v>
      </c>
      <c r="E136" s="6" t="s">
        <v>207</v>
      </c>
      <c r="F136" s="6" t="s">
        <v>241</v>
      </c>
      <c r="G136" s="6" t="s">
        <v>242</v>
      </c>
      <c r="H136" s="6" t="s">
        <v>245</v>
      </c>
      <c r="I136" s="7">
        <v>2020051290041</v>
      </c>
      <c r="J136" s="6">
        <v>2</v>
      </c>
      <c r="K136" s="6">
        <v>11092</v>
      </c>
      <c r="L136" s="6" t="s">
        <v>246</v>
      </c>
      <c r="M136" s="6" t="s">
        <v>34</v>
      </c>
      <c r="N136" s="9" t="s">
        <v>35</v>
      </c>
      <c r="O136" s="6" t="s">
        <v>65</v>
      </c>
      <c r="P136" s="6" t="s">
        <v>37</v>
      </c>
      <c r="Q136" s="6">
        <v>1</v>
      </c>
      <c r="R136" s="21">
        <f t="shared" si="2"/>
        <v>274256335</v>
      </c>
      <c r="S136" s="21">
        <v>0</v>
      </c>
      <c r="T136" s="20">
        <v>0</v>
      </c>
      <c r="U136" s="20">
        <v>0</v>
      </c>
      <c r="V136" s="20">
        <v>0</v>
      </c>
      <c r="W136" s="8">
        <v>274256335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</row>
    <row r="137" spans="1:33" ht="30" customHeight="1" x14ac:dyDescent="0.2">
      <c r="A137" s="6">
        <v>1</v>
      </c>
      <c r="B137" s="6" t="s">
        <v>27</v>
      </c>
      <c r="C137" s="6">
        <v>10</v>
      </c>
      <c r="D137" s="6" t="s">
        <v>206</v>
      </c>
      <c r="E137" s="6" t="s">
        <v>207</v>
      </c>
      <c r="F137" s="6" t="s">
        <v>241</v>
      </c>
      <c r="G137" s="6" t="s">
        <v>242</v>
      </c>
      <c r="H137" s="6" t="s">
        <v>245</v>
      </c>
      <c r="I137" s="7">
        <v>2020051290041</v>
      </c>
      <c r="J137" s="6">
        <v>2</v>
      </c>
      <c r="K137" s="6">
        <v>11092</v>
      </c>
      <c r="L137" s="6" t="s">
        <v>246</v>
      </c>
      <c r="M137" s="6" t="s">
        <v>34</v>
      </c>
      <c r="N137" s="9" t="s">
        <v>35</v>
      </c>
      <c r="O137" s="6" t="s">
        <v>65</v>
      </c>
      <c r="P137" s="6" t="s">
        <v>67</v>
      </c>
      <c r="Q137" s="6">
        <v>1</v>
      </c>
      <c r="R137" s="21">
        <f t="shared" si="2"/>
        <v>6844977530</v>
      </c>
      <c r="S137" s="21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8">
        <f>6715995033+47689127+81293370</f>
        <v>6844977530</v>
      </c>
      <c r="AF137" s="20">
        <v>0</v>
      </c>
      <c r="AG137" s="20">
        <v>0</v>
      </c>
    </row>
    <row r="138" spans="1:33" ht="30" customHeight="1" x14ac:dyDescent="0.2">
      <c r="A138" s="6">
        <v>1</v>
      </c>
      <c r="B138" s="6" t="s">
        <v>27</v>
      </c>
      <c r="C138" s="6">
        <v>10</v>
      </c>
      <c r="D138" s="6" t="s">
        <v>206</v>
      </c>
      <c r="E138" s="6" t="s">
        <v>207</v>
      </c>
      <c r="F138" s="6" t="s">
        <v>241</v>
      </c>
      <c r="G138" s="6" t="s">
        <v>242</v>
      </c>
      <c r="H138" s="6" t="s">
        <v>245</v>
      </c>
      <c r="I138" s="7">
        <v>2020051290041</v>
      </c>
      <c r="J138" s="6">
        <v>2</v>
      </c>
      <c r="K138" s="6">
        <v>11092</v>
      </c>
      <c r="L138" s="6" t="s">
        <v>246</v>
      </c>
      <c r="M138" s="6" t="s">
        <v>34</v>
      </c>
      <c r="N138" s="9" t="s">
        <v>35</v>
      </c>
      <c r="O138" s="6" t="s">
        <v>65</v>
      </c>
      <c r="P138" s="6" t="s">
        <v>67</v>
      </c>
      <c r="Q138" s="6">
        <v>1</v>
      </c>
      <c r="R138" s="21">
        <f t="shared" si="2"/>
        <v>571266649</v>
      </c>
      <c r="S138" s="21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f>81293370+489973279</f>
        <v>571266649</v>
      </c>
      <c r="AF138" s="20">
        <v>0</v>
      </c>
      <c r="AG138" s="20">
        <v>0</v>
      </c>
    </row>
    <row r="139" spans="1:33" ht="30" customHeight="1" x14ac:dyDescent="0.2">
      <c r="A139" s="6">
        <v>1</v>
      </c>
      <c r="B139" s="6" t="s">
        <v>27</v>
      </c>
      <c r="C139" s="6">
        <v>10</v>
      </c>
      <c r="D139" s="6" t="s">
        <v>206</v>
      </c>
      <c r="E139" s="6" t="s">
        <v>207</v>
      </c>
      <c r="F139" s="6" t="s">
        <v>241</v>
      </c>
      <c r="G139" s="6" t="s">
        <v>242</v>
      </c>
      <c r="H139" s="6" t="s">
        <v>245</v>
      </c>
      <c r="I139" s="7">
        <v>2020051290041</v>
      </c>
      <c r="J139" s="6">
        <v>2</v>
      </c>
      <c r="K139" s="6">
        <v>11092</v>
      </c>
      <c r="L139" s="6" t="s">
        <v>246</v>
      </c>
      <c r="M139" s="6" t="s">
        <v>34</v>
      </c>
      <c r="N139" s="9" t="s">
        <v>35</v>
      </c>
      <c r="O139" s="6" t="s">
        <v>65</v>
      </c>
      <c r="P139" s="6" t="s">
        <v>67</v>
      </c>
      <c r="Q139" s="6">
        <v>1</v>
      </c>
      <c r="R139" s="21">
        <f t="shared" si="2"/>
        <v>233232506</v>
      </c>
      <c r="S139" s="21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f>81293370+151939136</f>
        <v>233232506</v>
      </c>
      <c r="AF139" s="20">
        <v>0</v>
      </c>
      <c r="AG139" s="20">
        <v>0</v>
      </c>
    </row>
    <row r="140" spans="1:33" ht="30" customHeight="1" x14ac:dyDescent="0.2">
      <c r="A140" s="6">
        <v>1</v>
      </c>
      <c r="B140" s="6" t="s">
        <v>27</v>
      </c>
      <c r="C140" s="6">
        <v>10</v>
      </c>
      <c r="D140" s="6" t="s">
        <v>206</v>
      </c>
      <c r="E140" s="6" t="s">
        <v>207</v>
      </c>
      <c r="F140" s="6" t="s">
        <v>241</v>
      </c>
      <c r="G140" s="6" t="s">
        <v>242</v>
      </c>
      <c r="H140" s="6" t="s">
        <v>245</v>
      </c>
      <c r="I140" s="7">
        <v>2020051290041</v>
      </c>
      <c r="J140" s="6">
        <v>2</v>
      </c>
      <c r="K140" s="6">
        <v>11092</v>
      </c>
      <c r="L140" s="6" t="s">
        <v>246</v>
      </c>
      <c r="M140" s="6" t="s">
        <v>34</v>
      </c>
      <c r="N140" s="9" t="s">
        <v>35</v>
      </c>
      <c r="O140" s="6" t="s">
        <v>65</v>
      </c>
      <c r="P140" s="6" t="s">
        <v>67</v>
      </c>
      <c r="Q140" s="6">
        <v>1</v>
      </c>
      <c r="R140" s="21">
        <f t="shared" si="2"/>
        <v>94622863</v>
      </c>
      <c r="S140" s="21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f>81293370+13329493</f>
        <v>94622863</v>
      </c>
      <c r="AF140" s="20">
        <v>0</v>
      </c>
      <c r="AG140" s="20">
        <v>0</v>
      </c>
    </row>
    <row r="141" spans="1:33" ht="30" customHeight="1" x14ac:dyDescent="0.2">
      <c r="A141" s="6">
        <v>1</v>
      </c>
      <c r="B141" s="6" t="s">
        <v>27</v>
      </c>
      <c r="C141" s="6">
        <v>10</v>
      </c>
      <c r="D141" s="6" t="s">
        <v>206</v>
      </c>
      <c r="E141" s="6" t="s">
        <v>207</v>
      </c>
      <c r="F141" s="6" t="s">
        <v>241</v>
      </c>
      <c r="G141" s="6" t="s">
        <v>242</v>
      </c>
      <c r="H141" s="6" t="s">
        <v>245</v>
      </c>
      <c r="I141" s="7">
        <v>2020051290041</v>
      </c>
      <c r="J141" s="6">
        <v>2</v>
      </c>
      <c r="K141" s="6">
        <v>11092</v>
      </c>
      <c r="L141" s="6" t="s">
        <v>246</v>
      </c>
      <c r="M141" s="6" t="s">
        <v>34</v>
      </c>
      <c r="N141" s="9" t="s">
        <v>35</v>
      </c>
      <c r="O141" s="6" t="s">
        <v>65</v>
      </c>
      <c r="P141" s="1" t="s">
        <v>680</v>
      </c>
      <c r="Q141" s="6">
        <v>1</v>
      </c>
      <c r="R141" s="21">
        <f t="shared" si="2"/>
        <v>12182181884</v>
      </c>
      <c r="S141" s="21">
        <v>0</v>
      </c>
      <c r="T141" s="20">
        <f>8554438360+432317191+3195426333</f>
        <v>12182181884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</row>
    <row r="142" spans="1:33" ht="30" customHeight="1" x14ac:dyDescent="0.2">
      <c r="A142" s="6">
        <v>1</v>
      </c>
      <c r="B142" s="6" t="s">
        <v>27</v>
      </c>
      <c r="C142" s="6">
        <v>10</v>
      </c>
      <c r="D142" s="6" t="s">
        <v>206</v>
      </c>
      <c r="E142" s="6" t="s">
        <v>207</v>
      </c>
      <c r="F142" s="6" t="s">
        <v>241</v>
      </c>
      <c r="G142" s="6" t="s">
        <v>242</v>
      </c>
      <c r="H142" s="6" t="s">
        <v>245</v>
      </c>
      <c r="I142" s="7">
        <v>2020051290041</v>
      </c>
      <c r="J142" s="6">
        <v>2</v>
      </c>
      <c r="K142" s="6">
        <v>11092</v>
      </c>
      <c r="L142" s="6" t="s">
        <v>246</v>
      </c>
      <c r="M142" s="6" t="s">
        <v>34</v>
      </c>
      <c r="N142" s="9" t="s">
        <v>35</v>
      </c>
      <c r="O142" s="6" t="s">
        <v>65</v>
      </c>
      <c r="P142" s="1" t="s">
        <v>680</v>
      </c>
      <c r="Q142" s="6">
        <v>1</v>
      </c>
      <c r="R142" s="21">
        <f t="shared" si="2"/>
        <v>4043822496</v>
      </c>
      <c r="S142" s="21">
        <v>0</v>
      </c>
      <c r="T142" s="20">
        <f>848396162+3195426334</f>
        <v>4043822496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</row>
    <row r="143" spans="1:33" ht="60" customHeight="1" x14ac:dyDescent="0.2">
      <c r="A143" s="6">
        <v>1</v>
      </c>
      <c r="B143" s="6" t="s">
        <v>27</v>
      </c>
      <c r="C143" s="6">
        <v>10</v>
      </c>
      <c r="D143" s="6" t="s">
        <v>206</v>
      </c>
      <c r="E143" s="6" t="s">
        <v>207</v>
      </c>
      <c r="F143" s="6" t="s">
        <v>241</v>
      </c>
      <c r="G143" s="6" t="s">
        <v>242</v>
      </c>
      <c r="H143" s="6" t="s">
        <v>247</v>
      </c>
      <c r="I143" s="7">
        <v>2020051290040</v>
      </c>
      <c r="J143" s="6">
        <v>3</v>
      </c>
      <c r="K143" s="6">
        <v>11093</v>
      </c>
      <c r="L143" s="6" t="s">
        <v>248</v>
      </c>
      <c r="M143" s="6" t="s">
        <v>34</v>
      </c>
      <c r="N143" s="9" t="s">
        <v>35</v>
      </c>
      <c r="O143" s="6" t="s">
        <v>65</v>
      </c>
      <c r="P143" s="6" t="s">
        <v>67</v>
      </c>
      <c r="Q143" s="6">
        <v>12</v>
      </c>
      <c r="R143" s="21">
        <f t="shared" si="2"/>
        <v>131140870</v>
      </c>
      <c r="S143" s="21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8">
        <f>81293370+49847500</f>
        <v>131140870</v>
      </c>
      <c r="AF143" s="20">
        <v>0</v>
      </c>
      <c r="AG143" s="20">
        <v>0</v>
      </c>
    </row>
    <row r="144" spans="1:33" ht="60" customHeight="1" x14ac:dyDescent="0.2">
      <c r="A144" s="6">
        <v>1</v>
      </c>
      <c r="B144" s="6" t="s">
        <v>27</v>
      </c>
      <c r="C144" s="6">
        <v>10</v>
      </c>
      <c r="D144" s="6" t="s">
        <v>206</v>
      </c>
      <c r="E144" s="6" t="s">
        <v>207</v>
      </c>
      <c r="F144" s="6" t="s">
        <v>241</v>
      </c>
      <c r="G144" s="6" t="s">
        <v>242</v>
      </c>
      <c r="H144" s="6" t="s">
        <v>247</v>
      </c>
      <c r="I144" s="7">
        <v>2020051290040</v>
      </c>
      <c r="J144" s="6">
        <v>4</v>
      </c>
      <c r="K144" s="6">
        <v>11094</v>
      </c>
      <c r="L144" s="6" t="s">
        <v>249</v>
      </c>
      <c r="M144" s="6" t="s">
        <v>34</v>
      </c>
      <c r="N144" s="9" t="s">
        <v>35</v>
      </c>
      <c r="O144" s="6" t="s">
        <v>65</v>
      </c>
      <c r="P144" s="6" t="s">
        <v>37</v>
      </c>
      <c r="Q144" s="6">
        <v>1</v>
      </c>
      <c r="R144" s="21">
        <f t="shared" si="2"/>
        <v>68399396</v>
      </c>
      <c r="S144" s="21">
        <v>0</v>
      </c>
      <c r="T144" s="20">
        <v>0</v>
      </c>
      <c r="U144" s="20">
        <v>0</v>
      </c>
      <c r="V144" s="20">
        <v>0</v>
      </c>
      <c r="W144" s="20">
        <f>35847764+32551632</f>
        <v>68399396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</row>
    <row r="145" spans="1:33" ht="60" customHeight="1" x14ac:dyDescent="0.2">
      <c r="A145" s="6">
        <v>1</v>
      </c>
      <c r="B145" s="6" t="s">
        <v>27</v>
      </c>
      <c r="C145" s="6">
        <v>10</v>
      </c>
      <c r="D145" s="6" t="s">
        <v>206</v>
      </c>
      <c r="E145" s="6" t="s">
        <v>207</v>
      </c>
      <c r="F145" s="6" t="s">
        <v>241</v>
      </c>
      <c r="G145" s="6" t="s">
        <v>242</v>
      </c>
      <c r="H145" s="6" t="s">
        <v>247</v>
      </c>
      <c r="I145" s="7">
        <v>2020051290040</v>
      </c>
      <c r="J145" s="6">
        <v>4</v>
      </c>
      <c r="K145" s="6">
        <v>11094</v>
      </c>
      <c r="L145" s="6" t="s">
        <v>249</v>
      </c>
      <c r="M145" s="6" t="s">
        <v>34</v>
      </c>
      <c r="N145" s="9" t="s">
        <v>35</v>
      </c>
      <c r="O145" s="6" t="s">
        <v>65</v>
      </c>
      <c r="P145" s="6" t="s">
        <v>67</v>
      </c>
      <c r="Q145" s="6">
        <v>1</v>
      </c>
      <c r="R145" s="21">
        <f t="shared" si="2"/>
        <v>124778270</v>
      </c>
      <c r="S145" s="21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8">
        <f>81293370+43484890+10</f>
        <v>124778270</v>
      </c>
      <c r="AF145" s="20">
        <v>0</v>
      </c>
      <c r="AG145" s="20">
        <v>0</v>
      </c>
    </row>
    <row r="146" spans="1:33" ht="30" customHeight="1" x14ac:dyDescent="0.2">
      <c r="A146" s="6">
        <v>1</v>
      </c>
      <c r="B146" s="6" t="s">
        <v>27</v>
      </c>
      <c r="C146" s="6">
        <v>10</v>
      </c>
      <c r="D146" s="6" t="s">
        <v>206</v>
      </c>
      <c r="E146" s="6" t="s">
        <v>207</v>
      </c>
      <c r="F146" s="6" t="s">
        <v>250</v>
      </c>
      <c r="G146" s="6" t="s">
        <v>251</v>
      </c>
      <c r="H146" s="6" t="s">
        <v>243</v>
      </c>
      <c r="I146" s="10">
        <v>2020051290016</v>
      </c>
      <c r="J146" s="6">
        <v>5</v>
      </c>
      <c r="K146" s="6">
        <v>110105</v>
      </c>
      <c r="L146" s="6" t="s">
        <v>252</v>
      </c>
      <c r="M146" s="6" t="s">
        <v>34</v>
      </c>
      <c r="N146" s="9" t="s">
        <v>35</v>
      </c>
      <c r="O146" s="6" t="s">
        <v>65</v>
      </c>
      <c r="P146" s="6" t="s">
        <v>52</v>
      </c>
      <c r="Q146" s="6">
        <v>1</v>
      </c>
      <c r="R146" s="21">
        <f t="shared" si="2"/>
        <v>60000000</v>
      </c>
      <c r="S146" s="21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8">
        <v>60000000</v>
      </c>
      <c r="AE146" s="20">
        <v>0</v>
      </c>
      <c r="AF146" s="20">
        <v>0</v>
      </c>
      <c r="AG146" s="20">
        <v>0</v>
      </c>
    </row>
    <row r="147" spans="1:33" ht="45" customHeight="1" x14ac:dyDescent="0.2">
      <c r="A147" s="6">
        <v>1</v>
      </c>
      <c r="B147" s="6" t="s">
        <v>27</v>
      </c>
      <c r="C147" s="6">
        <v>11</v>
      </c>
      <c r="D147" s="6" t="s">
        <v>30</v>
      </c>
      <c r="E147" s="6" t="s">
        <v>253</v>
      </c>
      <c r="F147" s="6" t="s">
        <v>254</v>
      </c>
      <c r="G147" s="6" t="s">
        <v>255</v>
      </c>
      <c r="H147" s="35" t="s">
        <v>256</v>
      </c>
      <c r="I147" s="36">
        <v>2020051290025</v>
      </c>
      <c r="J147" s="6">
        <v>1</v>
      </c>
      <c r="K147" s="6">
        <v>11111</v>
      </c>
      <c r="L147" s="6" t="s">
        <v>257</v>
      </c>
      <c r="M147" s="6" t="s">
        <v>34</v>
      </c>
      <c r="N147" s="9" t="s">
        <v>35</v>
      </c>
      <c r="O147" s="6" t="s">
        <v>258</v>
      </c>
      <c r="P147" s="6" t="s">
        <v>37</v>
      </c>
      <c r="Q147" s="6">
        <v>1</v>
      </c>
      <c r="R147" s="21">
        <f t="shared" si="2"/>
        <v>294734691</v>
      </c>
      <c r="S147" s="21">
        <v>0</v>
      </c>
      <c r="T147" s="16">
        <v>0</v>
      </c>
      <c r="U147" s="16">
        <v>0</v>
      </c>
      <c r="V147" s="20">
        <v>0</v>
      </c>
      <c r="W147" s="16">
        <f>314300000-39281419+3049444+16666666</f>
        <v>294734691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</row>
    <row r="148" spans="1:33" ht="42" customHeight="1" x14ac:dyDescent="0.2">
      <c r="A148" s="6">
        <v>1</v>
      </c>
      <c r="B148" s="6" t="s">
        <v>27</v>
      </c>
      <c r="C148" s="6">
        <v>11</v>
      </c>
      <c r="D148" s="6" t="s">
        <v>30</v>
      </c>
      <c r="E148" s="6" t="s">
        <v>253</v>
      </c>
      <c r="F148" s="6" t="s">
        <v>254</v>
      </c>
      <c r="G148" s="6" t="s">
        <v>255</v>
      </c>
      <c r="H148" s="35" t="s">
        <v>256</v>
      </c>
      <c r="I148" s="36">
        <v>2020051290025</v>
      </c>
      <c r="J148" s="6">
        <v>2</v>
      </c>
      <c r="K148" s="6">
        <v>11112</v>
      </c>
      <c r="L148" s="6" t="s">
        <v>259</v>
      </c>
      <c r="M148" s="6" t="s">
        <v>34</v>
      </c>
      <c r="N148" s="9" t="s">
        <v>35</v>
      </c>
      <c r="O148" s="6" t="s">
        <v>258</v>
      </c>
      <c r="P148" s="6" t="s">
        <v>37</v>
      </c>
      <c r="Q148" s="6">
        <v>1</v>
      </c>
      <c r="R148" s="21">
        <f t="shared" si="2"/>
        <v>294734691</v>
      </c>
      <c r="S148" s="21">
        <v>0</v>
      </c>
      <c r="T148" s="16">
        <v>0</v>
      </c>
      <c r="U148" s="16">
        <v>0</v>
      </c>
      <c r="V148" s="20">
        <v>0</v>
      </c>
      <c r="W148" s="16">
        <f>314300000-39281419+3049444+16666666</f>
        <v>294734691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</row>
    <row r="149" spans="1:33" ht="45.75" customHeight="1" x14ac:dyDescent="0.2">
      <c r="A149" s="6">
        <v>1</v>
      </c>
      <c r="B149" s="6" t="s">
        <v>27</v>
      </c>
      <c r="C149" s="6">
        <v>11</v>
      </c>
      <c r="D149" s="6" t="s">
        <v>30</v>
      </c>
      <c r="E149" s="6" t="s">
        <v>253</v>
      </c>
      <c r="F149" s="6" t="s">
        <v>254</v>
      </c>
      <c r="G149" s="6" t="s">
        <v>255</v>
      </c>
      <c r="H149" s="35" t="s">
        <v>256</v>
      </c>
      <c r="I149" s="36">
        <v>2020051290025</v>
      </c>
      <c r="J149" s="6">
        <v>3</v>
      </c>
      <c r="K149" s="6">
        <v>11113</v>
      </c>
      <c r="L149" s="6" t="s">
        <v>260</v>
      </c>
      <c r="M149" s="6" t="s">
        <v>34</v>
      </c>
      <c r="N149" s="9" t="s">
        <v>35</v>
      </c>
      <c r="O149" s="6" t="s">
        <v>258</v>
      </c>
      <c r="P149" s="6" t="s">
        <v>37</v>
      </c>
      <c r="Q149" s="6">
        <v>1</v>
      </c>
      <c r="R149" s="21">
        <f t="shared" si="2"/>
        <v>112596788</v>
      </c>
      <c r="S149" s="21">
        <v>0</v>
      </c>
      <c r="T149" s="16">
        <v>0</v>
      </c>
      <c r="U149" s="16">
        <v>0</v>
      </c>
      <c r="V149" s="20">
        <v>0</v>
      </c>
      <c r="W149" s="16">
        <f>92880678+3049444+16666666</f>
        <v>112596788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</row>
    <row r="150" spans="1:33" ht="45" customHeight="1" x14ac:dyDescent="0.2">
      <c r="A150" s="6">
        <v>1</v>
      </c>
      <c r="B150" s="6" t="s">
        <v>27</v>
      </c>
      <c r="C150" s="6">
        <v>11</v>
      </c>
      <c r="D150" s="6" t="s">
        <v>30</v>
      </c>
      <c r="E150" s="6" t="s">
        <v>253</v>
      </c>
      <c r="F150" s="6" t="s">
        <v>254</v>
      </c>
      <c r="G150" s="6" t="s">
        <v>255</v>
      </c>
      <c r="H150" s="37" t="s">
        <v>256</v>
      </c>
      <c r="I150" s="38">
        <v>2020051290025</v>
      </c>
      <c r="J150" s="6">
        <v>3</v>
      </c>
      <c r="K150" s="6">
        <v>11113</v>
      </c>
      <c r="L150" s="6" t="s">
        <v>260</v>
      </c>
      <c r="M150" s="6" t="s">
        <v>34</v>
      </c>
      <c r="N150" s="9" t="s">
        <v>35</v>
      </c>
      <c r="O150" s="6" t="s">
        <v>258</v>
      </c>
      <c r="P150" s="6" t="s">
        <v>261</v>
      </c>
      <c r="Q150" s="6">
        <v>1</v>
      </c>
      <c r="R150" s="21">
        <f t="shared" si="2"/>
        <v>102296122</v>
      </c>
      <c r="S150" s="21">
        <v>0</v>
      </c>
      <c r="T150" s="16">
        <v>0</v>
      </c>
      <c r="U150" s="16">
        <v>0</v>
      </c>
      <c r="V150" s="20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f>100119322+2176800</f>
        <v>102296122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</row>
    <row r="151" spans="1:33" ht="40.5" customHeight="1" x14ac:dyDescent="0.2">
      <c r="A151" s="6">
        <v>1</v>
      </c>
      <c r="B151" s="6" t="s">
        <v>27</v>
      </c>
      <c r="C151" s="6">
        <v>11</v>
      </c>
      <c r="D151" s="6" t="s">
        <v>30</v>
      </c>
      <c r="E151" s="6" t="s">
        <v>253</v>
      </c>
      <c r="F151" s="6" t="s">
        <v>262</v>
      </c>
      <c r="G151" s="11" t="s">
        <v>263</v>
      </c>
      <c r="H151" s="39" t="s">
        <v>264</v>
      </c>
      <c r="I151" s="40">
        <v>2020051290067</v>
      </c>
      <c r="J151" s="12">
        <v>1</v>
      </c>
      <c r="K151" s="6">
        <v>11121</v>
      </c>
      <c r="L151" s="6" t="s">
        <v>265</v>
      </c>
      <c r="M151" s="6" t="s">
        <v>34</v>
      </c>
      <c r="N151" s="9" t="s">
        <v>35</v>
      </c>
      <c r="O151" s="6" t="s">
        <v>258</v>
      </c>
      <c r="P151" s="6" t="s">
        <v>261</v>
      </c>
      <c r="Q151" s="6">
        <v>1</v>
      </c>
      <c r="R151" s="21">
        <f t="shared" si="2"/>
        <v>17176800</v>
      </c>
      <c r="S151" s="21">
        <v>0</v>
      </c>
      <c r="T151" s="16">
        <v>0</v>
      </c>
      <c r="U151" s="16">
        <v>0</v>
      </c>
      <c r="V151" s="20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f>15000000+2176800</f>
        <v>17176800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</row>
    <row r="152" spans="1:33" ht="30" customHeight="1" x14ac:dyDescent="0.2">
      <c r="A152" s="6">
        <v>1</v>
      </c>
      <c r="B152" s="6" t="s">
        <v>27</v>
      </c>
      <c r="C152" s="6">
        <v>11</v>
      </c>
      <c r="D152" s="6" t="s">
        <v>30</v>
      </c>
      <c r="E152" s="6" t="s">
        <v>253</v>
      </c>
      <c r="F152" s="6" t="s">
        <v>262</v>
      </c>
      <c r="G152" s="11" t="s">
        <v>263</v>
      </c>
      <c r="H152" s="39" t="s">
        <v>264</v>
      </c>
      <c r="I152" s="40">
        <v>2020051290067</v>
      </c>
      <c r="J152" s="12">
        <v>2</v>
      </c>
      <c r="K152" s="6">
        <v>11122</v>
      </c>
      <c r="L152" s="6" t="s">
        <v>266</v>
      </c>
      <c r="M152" s="6" t="s">
        <v>34</v>
      </c>
      <c r="N152" s="9" t="s">
        <v>35</v>
      </c>
      <c r="O152" s="6" t="s">
        <v>258</v>
      </c>
      <c r="P152" s="6" t="s">
        <v>37</v>
      </c>
      <c r="Q152" s="6">
        <v>1</v>
      </c>
      <c r="R152" s="21">
        <f t="shared" si="2"/>
        <v>56216110</v>
      </c>
      <c r="S152" s="21">
        <v>0</v>
      </c>
      <c r="T152" s="16">
        <v>0</v>
      </c>
      <c r="U152" s="16">
        <v>0</v>
      </c>
      <c r="V152" s="20">
        <v>0</v>
      </c>
      <c r="W152" s="16">
        <f>36500000+3049444+16666666</f>
        <v>56216110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</row>
    <row r="153" spans="1:33" ht="43.5" customHeight="1" x14ac:dyDescent="0.2">
      <c r="A153" s="6">
        <v>1</v>
      </c>
      <c r="B153" s="6" t="s">
        <v>27</v>
      </c>
      <c r="C153" s="6">
        <v>11</v>
      </c>
      <c r="D153" s="6" t="s">
        <v>30</v>
      </c>
      <c r="E153" s="6" t="s">
        <v>253</v>
      </c>
      <c r="F153" s="6" t="s">
        <v>267</v>
      </c>
      <c r="G153" s="6" t="s">
        <v>268</v>
      </c>
      <c r="H153" s="41" t="s">
        <v>269</v>
      </c>
      <c r="I153" s="42">
        <v>2020051290026</v>
      </c>
      <c r="J153" s="6">
        <v>1</v>
      </c>
      <c r="K153" s="6">
        <v>11131</v>
      </c>
      <c r="L153" s="6" t="s">
        <v>270</v>
      </c>
      <c r="M153" s="6" t="s">
        <v>34</v>
      </c>
      <c r="N153" s="9" t="s">
        <v>35</v>
      </c>
      <c r="O153" s="6" t="s">
        <v>258</v>
      </c>
      <c r="P153" s="6" t="s">
        <v>261</v>
      </c>
      <c r="Q153" s="6">
        <v>1</v>
      </c>
      <c r="R153" s="21">
        <f t="shared" si="2"/>
        <v>102349546</v>
      </c>
      <c r="S153" s="21">
        <v>0</v>
      </c>
      <c r="T153" s="16">
        <v>0</v>
      </c>
      <c r="U153" s="16">
        <v>0</v>
      </c>
      <c r="V153" s="20">
        <v>0</v>
      </c>
      <c r="W153" s="16">
        <v>0</v>
      </c>
      <c r="X153" s="16">
        <v>0</v>
      </c>
      <c r="Y153" s="16">
        <v>0</v>
      </c>
      <c r="Z153" s="20">
        <v>0</v>
      </c>
      <c r="AA153" s="16">
        <f>100172746+2176800</f>
        <v>102349546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</row>
    <row r="154" spans="1:33" ht="42" customHeight="1" x14ac:dyDescent="0.2">
      <c r="A154" s="6">
        <v>1</v>
      </c>
      <c r="B154" s="6" t="s">
        <v>27</v>
      </c>
      <c r="C154" s="6">
        <v>11</v>
      </c>
      <c r="D154" s="6" t="s">
        <v>30</v>
      </c>
      <c r="E154" s="6" t="s">
        <v>253</v>
      </c>
      <c r="F154" s="6" t="s">
        <v>267</v>
      </c>
      <c r="G154" s="6" t="s">
        <v>268</v>
      </c>
      <c r="H154" s="6" t="s">
        <v>269</v>
      </c>
      <c r="I154" s="7">
        <v>2020051290026</v>
      </c>
      <c r="J154" s="6">
        <v>2</v>
      </c>
      <c r="K154" s="6">
        <v>11132</v>
      </c>
      <c r="L154" s="6" t="s">
        <v>271</v>
      </c>
      <c r="M154" s="6" t="s">
        <v>34</v>
      </c>
      <c r="N154" s="9" t="s">
        <v>35</v>
      </c>
      <c r="O154" s="6" t="s">
        <v>258</v>
      </c>
      <c r="P154" s="6" t="s">
        <v>37</v>
      </c>
      <c r="Q154" s="6">
        <v>1</v>
      </c>
      <c r="R154" s="21">
        <f t="shared" si="2"/>
        <v>212934691</v>
      </c>
      <c r="S154" s="21">
        <v>0</v>
      </c>
      <c r="T154" s="16">
        <v>0</v>
      </c>
      <c r="U154" s="16">
        <v>0</v>
      </c>
      <c r="V154" s="20">
        <v>0</v>
      </c>
      <c r="W154" s="16">
        <f>232500000-39281419+3049444+16666666</f>
        <v>212934691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</row>
    <row r="155" spans="1:33" ht="42" customHeight="1" x14ac:dyDescent="0.2">
      <c r="A155" s="6">
        <v>1</v>
      </c>
      <c r="B155" s="6" t="s">
        <v>27</v>
      </c>
      <c r="C155" s="6">
        <v>11</v>
      </c>
      <c r="D155" s="6" t="s">
        <v>30</v>
      </c>
      <c r="E155" s="6" t="s">
        <v>253</v>
      </c>
      <c r="F155" s="6" t="s">
        <v>267</v>
      </c>
      <c r="G155" s="6" t="s">
        <v>268</v>
      </c>
      <c r="H155" s="6" t="s">
        <v>269</v>
      </c>
      <c r="I155" s="7">
        <v>2020051290026</v>
      </c>
      <c r="J155" s="6">
        <v>3</v>
      </c>
      <c r="K155" s="6">
        <v>11133</v>
      </c>
      <c r="L155" s="6" t="s">
        <v>272</v>
      </c>
      <c r="M155" s="6" t="s">
        <v>34</v>
      </c>
      <c r="N155" s="9" t="s">
        <v>35</v>
      </c>
      <c r="O155" s="6" t="s">
        <v>258</v>
      </c>
      <c r="P155" s="6" t="s">
        <v>37</v>
      </c>
      <c r="Q155" s="6">
        <v>25</v>
      </c>
      <c r="R155" s="21">
        <f t="shared" si="2"/>
        <v>352379689</v>
      </c>
      <c r="S155" s="21">
        <v>0</v>
      </c>
      <c r="T155" s="16">
        <v>0</v>
      </c>
      <c r="U155" s="16">
        <v>0</v>
      </c>
      <c r="V155" s="20">
        <v>0</v>
      </c>
      <c r="W155" s="16">
        <f>371945000-39281421+3049444+16666666</f>
        <v>352379689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</row>
    <row r="156" spans="1:33" ht="42" customHeight="1" x14ac:dyDescent="0.2">
      <c r="A156" s="6">
        <v>1</v>
      </c>
      <c r="B156" s="6" t="s">
        <v>27</v>
      </c>
      <c r="C156" s="6">
        <v>11</v>
      </c>
      <c r="D156" s="6" t="s">
        <v>30</v>
      </c>
      <c r="E156" s="6" t="s">
        <v>253</v>
      </c>
      <c r="F156" s="6" t="s">
        <v>267</v>
      </c>
      <c r="G156" s="6" t="s">
        <v>268</v>
      </c>
      <c r="H156" s="6" t="s">
        <v>269</v>
      </c>
      <c r="I156" s="7">
        <v>2020051290026</v>
      </c>
      <c r="J156" s="6">
        <v>4</v>
      </c>
      <c r="K156" s="6">
        <v>11134</v>
      </c>
      <c r="L156" s="6" t="s">
        <v>273</v>
      </c>
      <c r="M156" s="6" t="s">
        <v>34</v>
      </c>
      <c r="N156" s="9" t="s">
        <v>35</v>
      </c>
      <c r="O156" s="6" t="s">
        <v>258</v>
      </c>
      <c r="P156" s="6" t="s">
        <v>37</v>
      </c>
      <c r="Q156" s="6">
        <v>1</v>
      </c>
      <c r="R156" s="21">
        <f t="shared" si="2"/>
        <v>74716110</v>
      </c>
      <c r="S156" s="21">
        <v>0</v>
      </c>
      <c r="T156" s="16">
        <v>0</v>
      </c>
      <c r="U156" s="16">
        <v>0</v>
      </c>
      <c r="V156" s="20">
        <v>0</v>
      </c>
      <c r="W156" s="16">
        <f>55000000+3049444+16666666</f>
        <v>74716110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</row>
    <row r="157" spans="1:33" ht="42" customHeight="1" x14ac:dyDescent="0.2">
      <c r="A157" s="6">
        <v>1</v>
      </c>
      <c r="B157" s="6" t="s">
        <v>27</v>
      </c>
      <c r="C157" s="6">
        <v>11</v>
      </c>
      <c r="D157" s="6" t="s">
        <v>30</v>
      </c>
      <c r="E157" s="6" t="s">
        <v>253</v>
      </c>
      <c r="F157" s="6" t="s">
        <v>267</v>
      </c>
      <c r="G157" s="6" t="s">
        <v>268</v>
      </c>
      <c r="H157" s="6" t="s">
        <v>269</v>
      </c>
      <c r="I157" s="7">
        <v>2020051290026</v>
      </c>
      <c r="J157" s="6">
        <v>5</v>
      </c>
      <c r="K157" s="6">
        <v>11135</v>
      </c>
      <c r="L157" s="6" t="s">
        <v>274</v>
      </c>
      <c r="M157" s="6" t="s">
        <v>34</v>
      </c>
      <c r="N157" s="9" t="s">
        <v>35</v>
      </c>
      <c r="O157" s="6" t="s">
        <v>258</v>
      </c>
      <c r="P157" s="6" t="s">
        <v>261</v>
      </c>
      <c r="Q157" s="6">
        <v>1</v>
      </c>
      <c r="R157" s="21">
        <f t="shared" ref="R157:R196" si="3">SUM(S157:AG157)</f>
        <v>102176800</v>
      </c>
      <c r="S157" s="21">
        <v>0</v>
      </c>
      <c r="T157" s="16">
        <v>0</v>
      </c>
      <c r="U157" s="16">
        <v>0</v>
      </c>
      <c r="V157" s="20">
        <v>0</v>
      </c>
      <c r="W157" s="20">
        <v>0</v>
      </c>
      <c r="X157" s="16">
        <v>0</v>
      </c>
      <c r="Y157" s="16">
        <v>0</v>
      </c>
      <c r="Z157" s="16">
        <v>0</v>
      </c>
      <c r="AA157" s="16">
        <f>100000000+2176800</f>
        <v>102176800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6">
        <v>0</v>
      </c>
    </row>
    <row r="158" spans="1:33" ht="42" customHeight="1" x14ac:dyDescent="0.2">
      <c r="A158" s="6">
        <v>1</v>
      </c>
      <c r="B158" s="6" t="s">
        <v>27</v>
      </c>
      <c r="C158" s="6">
        <v>11</v>
      </c>
      <c r="D158" s="6" t="s">
        <v>30</v>
      </c>
      <c r="E158" s="6" t="s">
        <v>253</v>
      </c>
      <c r="F158" s="6" t="s">
        <v>267</v>
      </c>
      <c r="G158" s="6" t="s">
        <v>268</v>
      </c>
      <c r="H158" s="6" t="s">
        <v>269</v>
      </c>
      <c r="I158" s="7">
        <v>2020051290026</v>
      </c>
      <c r="J158" s="6">
        <v>6</v>
      </c>
      <c r="K158" s="6">
        <v>11136</v>
      </c>
      <c r="L158" s="6" t="s">
        <v>275</v>
      </c>
      <c r="M158" s="6" t="s">
        <v>34</v>
      </c>
      <c r="N158" s="9" t="s">
        <v>35</v>
      </c>
      <c r="O158" s="6" t="s">
        <v>258</v>
      </c>
      <c r="P158" s="6" t="s">
        <v>261</v>
      </c>
      <c r="Q158" s="6">
        <v>1</v>
      </c>
      <c r="R158" s="21">
        <f t="shared" si="3"/>
        <v>59792732</v>
      </c>
      <c r="S158" s="21">
        <v>0</v>
      </c>
      <c r="T158" s="16">
        <v>0</v>
      </c>
      <c r="U158" s="16">
        <v>0</v>
      </c>
      <c r="V158" s="20">
        <v>0</v>
      </c>
      <c r="W158" s="16">
        <v>0</v>
      </c>
      <c r="X158" s="16">
        <v>0</v>
      </c>
      <c r="Y158" s="16">
        <v>0</v>
      </c>
      <c r="Z158" s="16">
        <v>0</v>
      </c>
      <c r="AA158" s="8">
        <f>85403168-27787236+2176800</f>
        <v>59792732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</row>
    <row r="159" spans="1:33" ht="42" customHeight="1" x14ac:dyDescent="0.2">
      <c r="A159" s="6">
        <v>1</v>
      </c>
      <c r="B159" s="6" t="s">
        <v>27</v>
      </c>
      <c r="C159" s="6">
        <v>11</v>
      </c>
      <c r="D159" s="6" t="s">
        <v>30</v>
      </c>
      <c r="E159" s="6" t="s">
        <v>253</v>
      </c>
      <c r="F159" s="6" t="s">
        <v>267</v>
      </c>
      <c r="G159" s="6" t="s">
        <v>268</v>
      </c>
      <c r="H159" s="6" t="s">
        <v>269</v>
      </c>
      <c r="I159" s="7">
        <v>2020051290026</v>
      </c>
      <c r="J159" s="6">
        <v>7</v>
      </c>
      <c r="K159" s="6">
        <v>11137</v>
      </c>
      <c r="L159" s="6" t="s">
        <v>276</v>
      </c>
      <c r="M159" s="6" t="s">
        <v>34</v>
      </c>
      <c r="N159" s="9" t="s">
        <v>35</v>
      </c>
      <c r="O159" s="6" t="s">
        <v>258</v>
      </c>
      <c r="P159" s="6" t="s">
        <v>37</v>
      </c>
      <c r="Q159" s="6">
        <v>1</v>
      </c>
      <c r="R159" s="21">
        <f t="shared" si="3"/>
        <v>54716110</v>
      </c>
      <c r="S159" s="21">
        <v>0</v>
      </c>
      <c r="T159" s="16">
        <v>0</v>
      </c>
      <c r="U159" s="16">
        <v>0</v>
      </c>
      <c r="V159" s="20">
        <v>0</v>
      </c>
      <c r="W159" s="16">
        <f>35000000+3049444+16666666</f>
        <v>54716110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</row>
    <row r="160" spans="1:33" ht="42" customHeight="1" x14ac:dyDescent="0.2">
      <c r="A160" s="6">
        <v>1</v>
      </c>
      <c r="B160" s="6" t="s">
        <v>27</v>
      </c>
      <c r="C160" s="6">
        <v>11</v>
      </c>
      <c r="D160" s="6" t="s">
        <v>30</v>
      </c>
      <c r="E160" s="6" t="s">
        <v>253</v>
      </c>
      <c r="F160" s="6" t="s">
        <v>267</v>
      </c>
      <c r="G160" s="6" t="s">
        <v>268</v>
      </c>
      <c r="H160" s="6" t="s">
        <v>269</v>
      </c>
      <c r="I160" s="7">
        <v>2020051290026</v>
      </c>
      <c r="J160" s="6">
        <v>8</v>
      </c>
      <c r="K160" s="6">
        <v>11138</v>
      </c>
      <c r="L160" s="6" t="s">
        <v>277</v>
      </c>
      <c r="M160" s="6" t="s">
        <v>46</v>
      </c>
      <c r="N160" s="9" t="s">
        <v>152</v>
      </c>
      <c r="O160" s="6" t="s">
        <v>258</v>
      </c>
      <c r="P160" s="6" t="s">
        <v>37</v>
      </c>
      <c r="Q160" s="9">
        <v>0.5</v>
      </c>
      <c r="R160" s="21">
        <f t="shared" si="3"/>
        <v>99716120</v>
      </c>
      <c r="S160" s="21">
        <v>0</v>
      </c>
      <c r="T160" s="16">
        <v>0</v>
      </c>
      <c r="U160" s="16">
        <v>0</v>
      </c>
      <c r="V160" s="20">
        <v>0</v>
      </c>
      <c r="W160" s="16">
        <f>80000000+3049448+16666666+6</f>
        <v>99716120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</row>
    <row r="161" spans="1:33" ht="30" customHeight="1" x14ac:dyDescent="0.2">
      <c r="A161" s="6">
        <v>1</v>
      </c>
      <c r="B161" s="6" t="s">
        <v>27</v>
      </c>
      <c r="C161" s="6">
        <v>11</v>
      </c>
      <c r="D161" s="6" t="s">
        <v>30</v>
      </c>
      <c r="E161" s="6" t="s">
        <v>253</v>
      </c>
      <c r="F161" s="6" t="s">
        <v>278</v>
      </c>
      <c r="G161" s="6" t="s">
        <v>279</v>
      </c>
      <c r="H161" s="6" t="s">
        <v>664</v>
      </c>
      <c r="I161" s="7">
        <v>2020051290009</v>
      </c>
      <c r="J161" s="6">
        <v>1</v>
      </c>
      <c r="K161" s="6">
        <v>11141</v>
      </c>
      <c r="L161" s="6" t="s">
        <v>280</v>
      </c>
      <c r="M161" s="6" t="s">
        <v>34</v>
      </c>
      <c r="N161" s="9" t="s">
        <v>35</v>
      </c>
      <c r="O161" s="6" t="s">
        <v>204</v>
      </c>
      <c r="P161" s="6" t="s">
        <v>52</v>
      </c>
      <c r="Q161" s="6">
        <v>1</v>
      </c>
      <c r="R161" s="21">
        <f t="shared" si="3"/>
        <v>72612076</v>
      </c>
      <c r="S161" s="21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8">
        <f>22612076+50000000</f>
        <v>72612076</v>
      </c>
      <c r="AE161" s="20">
        <v>0</v>
      </c>
      <c r="AF161" s="20">
        <v>0</v>
      </c>
      <c r="AG161" s="20">
        <v>0</v>
      </c>
    </row>
    <row r="162" spans="1:33" ht="30" customHeight="1" x14ac:dyDescent="0.2">
      <c r="A162" s="6">
        <v>1</v>
      </c>
      <c r="B162" s="6" t="s">
        <v>27</v>
      </c>
      <c r="C162" s="6">
        <v>11</v>
      </c>
      <c r="D162" s="6" t="s">
        <v>30</v>
      </c>
      <c r="E162" s="6" t="s">
        <v>253</v>
      </c>
      <c r="F162" s="6" t="s">
        <v>278</v>
      </c>
      <c r="G162" s="6" t="s">
        <v>279</v>
      </c>
      <c r="H162" s="6" t="s">
        <v>664</v>
      </c>
      <c r="I162" s="7">
        <v>2020051290009</v>
      </c>
      <c r="J162" s="6">
        <v>2</v>
      </c>
      <c r="K162" s="6">
        <v>11142</v>
      </c>
      <c r="L162" s="6" t="s">
        <v>281</v>
      </c>
      <c r="M162" s="6" t="s">
        <v>34</v>
      </c>
      <c r="N162" s="9" t="s">
        <v>35</v>
      </c>
      <c r="O162" s="6" t="s">
        <v>204</v>
      </c>
      <c r="P162" s="6" t="s">
        <v>52</v>
      </c>
      <c r="Q162" s="6">
        <v>1</v>
      </c>
      <c r="R162" s="21">
        <f t="shared" si="3"/>
        <v>352290584</v>
      </c>
      <c r="S162" s="21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8">
        <f>350427681-20749173+22612076</f>
        <v>352290584</v>
      </c>
      <c r="AE162" s="20">
        <v>0</v>
      </c>
      <c r="AF162" s="20">
        <v>0</v>
      </c>
      <c r="AG162" s="20">
        <v>0</v>
      </c>
    </row>
    <row r="163" spans="1:33" ht="30" customHeight="1" x14ac:dyDescent="0.2">
      <c r="A163" s="6">
        <v>1</v>
      </c>
      <c r="B163" s="6" t="s">
        <v>27</v>
      </c>
      <c r="C163" s="6">
        <v>11</v>
      </c>
      <c r="D163" s="6" t="s">
        <v>30</v>
      </c>
      <c r="E163" s="6" t="s">
        <v>253</v>
      </c>
      <c r="F163" s="6" t="s">
        <v>278</v>
      </c>
      <c r="G163" s="6" t="s">
        <v>279</v>
      </c>
      <c r="H163" s="6" t="s">
        <v>664</v>
      </c>
      <c r="I163" s="7">
        <v>2020051290009</v>
      </c>
      <c r="J163" s="6">
        <v>2</v>
      </c>
      <c r="K163" s="6">
        <v>11142</v>
      </c>
      <c r="L163" s="6" t="s">
        <v>281</v>
      </c>
      <c r="M163" s="6" t="s">
        <v>34</v>
      </c>
      <c r="N163" s="9" t="s">
        <v>35</v>
      </c>
      <c r="O163" s="6" t="s">
        <v>204</v>
      </c>
      <c r="P163" s="6" t="s">
        <v>282</v>
      </c>
      <c r="Q163" s="6">
        <v>1</v>
      </c>
      <c r="R163" s="21">
        <f t="shared" si="3"/>
        <v>0</v>
      </c>
      <c r="S163" s="21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</row>
    <row r="164" spans="1:33" ht="45" customHeight="1" x14ac:dyDescent="0.2">
      <c r="A164" s="6">
        <v>1</v>
      </c>
      <c r="B164" s="6" t="s">
        <v>27</v>
      </c>
      <c r="C164" s="6">
        <v>12</v>
      </c>
      <c r="D164" s="6" t="s">
        <v>41</v>
      </c>
      <c r="E164" s="6" t="s">
        <v>283</v>
      </c>
      <c r="F164" s="6" t="s">
        <v>284</v>
      </c>
      <c r="G164" s="6" t="s">
        <v>285</v>
      </c>
      <c r="H164" s="6" t="s">
        <v>286</v>
      </c>
      <c r="I164" s="7">
        <v>2020051290054</v>
      </c>
      <c r="J164" s="6">
        <v>1</v>
      </c>
      <c r="K164" s="6">
        <v>11211</v>
      </c>
      <c r="L164" s="6" t="s">
        <v>287</v>
      </c>
      <c r="M164" s="6" t="s">
        <v>34</v>
      </c>
      <c r="N164" s="9" t="s">
        <v>35</v>
      </c>
      <c r="O164" s="6" t="s">
        <v>288</v>
      </c>
      <c r="P164" s="6" t="s">
        <v>37</v>
      </c>
      <c r="Q164" s="6">
        <v>1</v>
      </c>
      <c r="R164" s="21">
        <f t="shared" si="3"/>
        <v>228327555</v>
      </c>
      <c r="S164" s="21">
        <v>0</v>
      </c>
      <c r="T164" s="20">
        <v>0</v>
      </c>
      <c r="U164" s="20">
        <v>0</v>
      </c>
      <c r="V164" s="20">
        <v>0</v>
      </c>
      <c r="W164" s="16">
        <f>239699349-8291128-15580666+12500000</f>
        <v>228327555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20">
        <v>0</v>
      </c>
      <c r="AE164" s="16">
        <v>0</v>
      </c>
      <c r="AF164" s="16">
        <v>0</v>
      </c>
      <c r="AG164" s="20">
        <v>0</v>
      </c>
    </row>
    <row r="165" spans="1:33" ht="45" customHeight="1" x14ac:dyDescent="0.2">
      <c r="A165" s="6">
        <v>1</v>
      </c>
      <c r="B165" s="6" t="s">
        <v>27</v>
      </c>
      <c r="C165" s="6">
        <v>12</v>
      </c>
      <c r="D165" s="6" t="s">
        <v>41</v>
      </c>
      <c r="E165" s="6" t="s">
        <v>283</v>
      </c>
      <c r="F165" s="6" t="s">
        <v>284</v>
      </c>
      <c r="G165" s="6" t="s">
        <v>285</v>
      </c>
      <c r="H165" s="6" t="s">
        <v>286</v>
      </c>
      <c r="I165" s="7">
        <v>2020051290054</v>
      </c>
      <c r="J165" s="6">
        <v>1</v>
      </c>
      <c r="K165" s="6">
        <v>11211</v>
      </c>
      <c r="L165" s="6" t="s">
        <v>287</v>
      </c>
      <c r="M165" s="6" t="s">
        <v>34</v>
      </c>
      <c r="N165" s="9" t="s">
        <v>35</v>
      </c>
      <c r="O165" s="6" t="s">
        <v>288</v>
      </c>
      <c r="P165" s="6" t="s">
        <v>289</v>
      </c>
      <c r="Q165" s="6">
        <v>1</v>
      </c>
      <c r="R165" s="21">
        <f t="shared" si="3"/>
        <v>50215981</v>
      </c>
      <c r="S165" s="21">
        <v>0</v>
      </c>
      <c r="T165" s="16">
        <v>0</v>
      </c>
      <c r="U165" s="16">
        <v>0</v>
      </c>
      <c r="V165" s="20">
        <v>0</v>
      </c>
      <c r="W165" s="20">
        <v>0</v>
      </c>
      <c r="X165" s="20">
        <v>0</v>
      </c>
      <c r="Y165" s="20">
        <v>0</v>
      </c>
      <c r="Z165" s="16">
        <v>50215981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</row>
    <row r="166" spans="1:33" ht="30" customHeight="1" x14ac:dyDescent="0.2">
      <c r="A166" s="6">
        <v>1</v>
      </c>
      <c r="B166" s="6" t="s">
        <v>27</v>
      </c>
      <c r="C166" s="6">
        <v>12</v>
      </c>
      <c r="D166" s="6" t="s">
        <v>41</v>
      </c>
      <c r="E166" s="6" t="s">
        <v>283</v>
      </c>
      <c r="F166" s="6" t="s">
        <v>284</v>
      </c>
      <c r="G166" s="6" t="s">
        <v>285</v>
      </c>
      <c r="H166" s="6" t="s">
        <v>286</v>
      </c>
      <c r="I166" s="7">
        <v>2020051290054</v>
      </c>
      <c r="J166" s="6">
        <v>2</v>
      </c>
      <c r="K166" s="6">
        <v>11212</v>
      </c>
      <c r="L166" s="6" t="s">
        <v>290</v>
      </c>
      <c r="M166" s="6" t="s">
        <v>34</v>
      </c>
      <c r="N166" s="9" t="s">
        <v>35</v>
      </c>
      <c r="O166" s="6" t="s">
        <v>288</v>
      </c>
      <c r="P166" s="6" t="s">
        <v>37</v>
      </c>
      <c r="Q166" s="6">
        <v>1</v>
      </c>
      <c r="R166" s="21">
        <f t="shared" si="3"/>
        <v>161070843</v>
      </c>
      <c r="S166" s="21">
        <v>0</v>
      </c>
      <c r="T166" s="16">
        <v>0</v>
      </c>
      <c r="U166" s="16">
        <v>0</v>
      </c>
      <c r="V166" s="20">
        <v>0</v>
      </c>
      <c r="W166" s="16">
        <f>172442637-8291128-15580666+12500000</f>
        <v>161070843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20">
        <v>0</v>
      </c>
    </row>
    <row r="167" spans="1:33" ht="30" customHeight="1" x14ac:dyDescent="0.2">
      <c r="A167" s="6">
        <v>1</v>
      </c>
      <c r="B167" s="6" t="s">
        <v>27</v>
      </c>
      <c r="C167" s="6">
        <v>12</v>
      </c>
      <c r="D167" s="6" t="s">
        <v>41</v>
      </c>
      <c r="E167" s="6" t="s">
        <v>283</v>
      </c>
      <c r="F167" s="6" t="s">
        <v>284</v>
      </c>
      <c r="G167" s="6" t="s">
        <v>285</v>
      </c>
      <c r="H167" s="6" t="s">
        <v>286</v>
      </c>
      <c r="I167" s="7">
        <v>2020051290054</v>
      </c>
      <c r="J167" s="6">
        <v>3</v>
      </c>
      <c r="K167" s="6">
        <v>11213</v>
      </c>
      <c r="L167" s="6" t="s">
        <v>291</v>
      </c>
      <c r="M167" s="6" t="s">
        <v>34</v>
      </c>
      <c r="N167" s="9" t="s">
        <v>35</v>
      </c>
      <c r="O167" s="6" t="s">
        <v>288</v>
      </c>
      <c r="P167" s="6" t="s">
        <v>37</v>
      </c>
      <c r="Q167" s="6">
        <v>1</v>
      </c>
      <c r="R167" s="21">
        <f t="shared" si="3"/>
        <v>44355895</v>
      </c>
      <c r="S167" s="21">
        <v>0</v>
      </c>
      <c r="T167" s="16">
        <v>0</v>
      </c>
      <c r="U167" s="16">
        <v>0</v>
      </c>
      <c r="V167" s="20">
        <v>0</v>
      </c>
      <c r="W167" s="16">
        <f>55727689-8291128-15580666+12500000</f>
        <v>44355895</v>
      </c>
      <c r="X167" s="16">
        <v>0</v>
      </c>
      <c r="Y167" s="16">
        <v>0</v>
      </c>
      <c r="Z167" s="20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20">
        <v>0</v>
      </c>
    </row>
    <row r="168" spans="1:33" ht="30" customHeight="1" x14ac:dyDescent="0.2">
      <c r="A168" s="6">
        <v>1</v>
      </c>
      <c r="B168" s="6" t="s">
        <v>27</v>
      </c>
      <c r="C168" s="6">
        <v>12</v>
      </c>
      <c r="D168" s="6" t="s">
        <v>41</v>
      </c>
      <c r="E168" s="6" t="s">
        <v>283</v>
      </c>
      <c r="F168" s="6" t="s">
        <v>284</v>
      </c>
      <c r="G168" s="6" t="s">
        <v>285</v>
      </c>
      <c r="H168" s="6" t="s">
        <v>286</v>
      </c>
      <c r="I168" s="7">
        <v>2020051290054</v>
      </c>
      <c r="J168" s="6">
        <v>3</v>
      </c>
      <c r="K168" s="6">
        <v>11213</v>
      </c>
      <c r="L168" s="6" t="s">
        <v>291</v>
      </c>
      <c r="M168" s="6" t="s">
        <v>34</v>
      </c>
      <c r="N168" s="9" t="s">
        <v>35</v>
      </c>
      <c r="O168" s="6" t="s">
        <v>288</v>
      </c>
      <c r="P168" s="6" t="s">
        <v>289</v>
      </c>
      <c r="Q168" s="6">
        <v>1</v>
      </c>
      <c r="R168" s="21">
        <f t="shared" si="3"/>
        <v>100381560</v>
      </c>
      <c r="S168" s="21">
        <v>0</v>
      </c>
      <c r="T168" s="16">
        <v>0</v>
      </c>
      <c r="U168" s="16">
        <v>0</v>
      </c>
      <c r="V168" s="20">
        <v>0</v>
      </c>
      <c r="W168" s="20">
        <v>0</v>
      </c>
      <c r="X168" s="20">
        <v>0</v>
      </c>
      <c r="Y168" s="20">
        <v>0</v>
      </c>
      <c r="Z168" s="16">
        <v>100381560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</row>
    <row r="169" spans="1:33" ht="30" customHeight="1" x14ac:dyDescent="0.2">
      <c r="A169" s="6">
        <v>1</v>
      </c>
      <c r="B169" s="6" t="s">
        <v>27</v>
      </c>
      <c r="C169" s="6">
        <v>12</v>
      </c>
      <c r="D169" s="6" t="s">
        <v>41</v>
      </c>
      <c r="E169" s="6" t="s">
        <v>283</v>
      </c>
      <c r="F169" s="6" t="s">
        <v>284</v>
      </c>
      <c r="G169" s="6" t="s">
        <v>285</v>
      </c>
      <c r="H169" s="6" t="s">
        <v>286</v>
      </c>
      <c r="I169" s="7">
        <v>2020051290054</v>
      </c>
      <c r="J169" s="6">
        <v>4</v>
      </c>
      <c r="K169" s="6">
        <v>11214</v>
      </c>
      <c r="L169" s="6" t="s">
        <v>292</v>
      </c>
      <c r="M169" s="6" t="s">
        <v>34</v>
      </c>
      <c r="N169" s="9" t="s">
        <v>35</v>
      </c>
      <c r="O169" s="6" t="s">
        <v>288</v>
      </c>
      <c r="P169" s="6" t="s">
        <v>37</v>
      </c>
      <c r="Q169" s="6">
        <v>1</v>
      </c>
      <c r="R169" s="21">
        <f t="shared" si="3"/>
        <v>41212780</v>
      </c>
      <c r="S169" s="21">
        <v>0</v>
      </c>
      <c r="T169" s="16">
        <v>0</v>
      </c>
      <c r="U169" s="16">
        <v>0</v>
      </c>
      <c r="V169" s="20">
        <v>0</v>
      </c>
      <c r="W169" s="16">
        <f>52584574-8291128-15580666+12500000</f>
        <v>41212780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20">
        <v>0</v>
      </c>
    </row>
    <row r="170" spans="1:33" ht="39.75" customHeight="1" x14ac:dyDescent="0.2">
      <c r="A170" s="6">
        <v>1</v>
      </c>
      <c r="B170" s="6" t="s">
        <v>27</v>
      </c>
      <c r="C170" s="6">
        <v>12</v>
      </c>
      <c r="D170" s="6" t="s">
        <v>41</v>
      </c>
      <c r="E170" s="6" t="s">
        <v>283</v>
      </c>
      <c r="F170" s="6" t="s">
        <v>293</v>
      </c>
      <c r="G170" s="6" t="s">
        <v>294</v>
      </c>
      <c r="H170" s="6" t="s">
        <v>295</v>
      </c>
      <c r="I170" s="7">
        <v>2020051290062</v>
      </c>
      <c r="J170" s="6">
        <v>1</v>
      </c>
      <c r="K170" s="6">
        <v>11221</v>
      </c>
      <c r="L170" s="6" t="s">
        <v>296</v>
      </c>
      <c r="M170" s="6" t="s">
        <v>34</v>
      </c>
      <c r="N170" s="9" t="s">
        <v>35</v>
      </c>
      <c r="O170" s="6" t="s">
        <v>288</v>
      </c>
      <c r="P170" s="6" t="s">
        <v>37</v>
      </c>
      <c r="Q170" s="6">
        <v>1</v>
      </c>
      <c r="R170" s="21">
        <f t="shared" si="3"/>
        <v>10813011</v>
      </c>
      <c r="S170" s="21">
        <v>0</v>
      </c>
      <c r="T170" s="16">
        <v>0</v>
      </c>
      <c r="U170" s="16">
        <v>0</v>
      </c>
      <c r="V170" s="20">
        <v>0</v>
      </c>
      <c r="W170" s="16">
        <f>22184805-8291128-15580666+12500000</f>
        <v>10813011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20">
        <v>0</v>
      </c>
    </row>
    <row r="171" spans="1:33" ht="45" customHeight="1" x14ac:dyDescent="0.2">
      <c r="A171" s="6">
        <v>1</v>
      </c>
      <c r="B171" s="6" t="s">
        <v>27</v>
      </c>
      <c r="C171" s="6">
        <v>12</v>
      </c>
      <c r="D171" s="6" t="s">
        <v>41</v>
      </c>
      <c r="E171" s="6" t="s">
        <v>283</v>
      </c>
      <c r="F171" s="6" t="s">
        <v>293</v>
      </c>
      <c r="G171" s="6" t="s">
        <v>294</v>
      </c>
      <c r="H171" s="6" t="s">
        <v>295</v>
      </c>
      <c r="I171" s="7">
        <v>2020051290062</v>
      </c>
      <c r="J171" s="6">
        <v>2</v>
      </c>
      <c r="K171" s="6">
        <v>11222</v>
      </c>
      <c r="L171" s="6" t="s">
        <v>297</v>
      </c>
      <c r="M171" s="6" t="s">
        <v>34</v>
      </c>
      <c r="N171" s="9" t="s">
        <v>35</v>
      </c>
      <c r="O171" s="6" t="s">
        <v>288</v>
      </c>
      <c r="P171" s="6" t="s">
        <v>37</v>
      </c>
      <c r="Q171" s="6">
        <v>1</v>
      </c>
      <c r="R171" s="21">
        <f t="shared" si="3"/>
        <v>181203968</v>
      </c>
      <c r="S171" s="21">
        <v>0</v>
      </c>
      <c r="T171" s="16">
        <v>0</v>
      </c>
      <c r="U171" s="16">
        <v>0</v>
      </c>
      <c r="V171" s="20">
        <v>0</v>
      </c>
      <c r="W171" s="16">
        <f>192575762-8291128-15580666+12500000</f>
        <v>181203968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20">
        <v>0</v>
      </c>
    </row>
    <row r="172" spans="1:33" ht="41.25" customHeight="1" x14ac:dyDescent="0.2">
      <c r="A172" s="6">
        <v>1</v>
      </c>
      <c r="B172" s="6" t="s">
        <v>27</v>
      </c>
      <c r="C172" s="6">
        <v>12</v>
      </c>
      <c r="D172" s="6" t="s">
        <v>41</v>
      </c>
      <c r="E172" s="6" t="s">
        <v>283</v>
      </c>
      <c r="F172" s="6" t="s">
        <v>293</v>
      </c>
      <c r="G172" s="6" t="s">
        <v>294</v>
      </c>
      <c r="H172" s="6" t="s">
        <v>295</v>
      </c>
      <c r="I172" s="7">
        <v>2020051290062</v>
      </c>
      <c r="J172" s="6">
        <v>3</v>
      </c>
      <c r="K172" s="6">
        <v>11223</v>
      </c>
      <c r="L172" s="6" t="s">
        <v>298</v>
      </c>
      <c r="M172" s="6" t="s">
        <v>34</v>
      </c>
      <c r="N172" s="9" t="s">
        <v>35</v>
      </c>
      <c r="O172" s="6" t="s">
        <v>288</v>
      </c>
      <c r="P172" s="6" t="s">
        <v>37</v>
      </c>
      <c r="Q172" s="6">
        <v>1</v>
      </c>
      <c r="R172" s="21">
        <f t="shared" si="3"/>
        <v>27782836</v>
      </c>
      <c r="S172" s="21">
        <v>0</v>
      </c>
      <c r="T172" s="16">
        <v>0</v>
      </c>
      <c r="U172" s="16">
        <v>0</v>
      </c>
      <c r="V172" s="20">
        <v>0</v>
      </c>
      <c r="W172" s="16">
        <f>39154630-8291128-15580666+12500000</f>
        <v>27782836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20">
        <v>0</v>
      </c>
    </row>
    <row r="173" spans="1:33" ht="41.25" customHeight="1" x14ac:dyDescent="0.2">
      <c r="A173" s="6">
        <v>1</v>
      </c>
      <c r="B173" s="6" t="s">
        <v>27</v>
      </c>
      <c r="C173" s="6">
        <v>12</v>
      </c>
      <c r="D173" s="6" t="s">
        <v>41</v>
      </c>
      <c r="E173" s="6" t="s">
        <v>283</v>
      </c>
      <c r="F173" s="6" t="s">
        <v>293</v>
      </c>
      <c r="G173" s="6" t="s">
        <v>294</v>
      </c>
      <c r="H173" s="6" t="s">
        <v>295</v>
      </c>
      <c r="I173" s="7">
        <v>2020051290062</v>
      </c>
      <c r="J173" s="6">
        <v>4</v>
      </c>
      <c r="K173" s="6">
        <v>11224</v>
      </c>
      <c r="L173" s="6" t="s">
        <v>299</v>
      </c>
      <c r="M173" s="6" t="s">
        <v>34</v>
      </c>
      <c r="N173" s="9" t="s">
        <v>35</v>
      </c>
      <c r="O173" s="6" t="s">
        <v>288</v>
      </c>
      <c r="P173" s="6" t="s">
        <v>37</v>
      </c>
      <c r="Q173" s="6">
        <v>2</v>
      </c>
      <c r="R173" s="21">
        <f t="shared" si="3"/>
        <v>29065417</v>
      </c>
      <c r="S173" s="21">
        <v>0</v>
      </c>
      <c r="T173" s="16">
        <v>0</v>
      </c>
      <c r="U173" s="16">
        <v>0</v>
      </c>
      <c r="V173" s="20">
        <v>0</v>
      </c>
      <c r="W173" s="16">
        <f>40437211-8291128-15580666+12500000</f>
        <v>29065417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20">
        <v>0</v>
      </c>
    </row>
    <row r="174" spans="1:33" ht="41.25" customHeight="1" x14ac:dyDescent="0.2">
      <c r="A174" s="6">
        <v>1</v>
      </c>
      <c r="B174" s="6" t="s">
        <v>27</v>
      </c>
      <c r="C174" s="6">
        <v>12</v>
      </c>
      <c r="D174" s="6" t="s">
        <v>41</v>
      </c>
      <c r="E174" s="6" t="s">
        <v>283</v>
      </c>
      <c r="F174" s="6" t="s">
        <v>300</v>
      </c>
      <c r="G174" s="6" t="s">
        <v>301</v>
      </c>
      <c r="H174" s="6" t="s">
        <v>302</v>
      </c>
      <c r="I174" s="10">
        <v>2020051290059</v>
      </c>
      <c r="J174" s="6">
        <v>2</v>
      </c>
      <c r="K174" s="6">
        <v>11232</v>
      </c>
      <c r="L174" s="6" t="s">
        <v>303</v>
      </c>
      <c r="M174" s="6" t="s">
        <v>34</v>
      </c>
      <c r="N174" s="9" t="s">
        <v>35</v>
      </c>
      <c r="O174" s="6" t="s">
        <v>288</v>
      </c>
      <c r="P174" s="6" t="s">
        <v>37</v>
      </c>
      <c r="Q174" s="6">
        <v>1</v>
      </c>
      <c r="R174" s="21">
        <f t="shared" si="3"/>
        <v>33140176</v>
      </c>
      <c r="S174" s="21">
        <v>0</v>
      </c>
      <c r="T174" s="16">
        <v>0</v>
      </c>
      <c r="U174" s="16">
        <v>0</v>
      </c>
      <c r="V174" s="20">
        <v>0</v>
      </c>
      <c r="W174" s="16">
        <f>44511970-8291128-15580666+12500000</f>
        <v>33140176</v>
      </c>
      <c r="X174" s="16">
        <v>0</v>
      </c>
      <c r="Y174" s="16">
        <v>0</v>
      </c>
      <c r="Z174" s="20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20">
        <v>0</v>
      </c>
    </row>
    <row r="175" spans="1:33" ht="41.25" customHeight="1" x14ac:dyDescent="0.2">
      <c r="A175" s="6">
        <v>1</v>
      </c>
      <c r="B175" s="6" t="s">
        <v>27</v>
      </c>
      <c r="C175" s="6">
        <v>12</v>
      </c>
      <c r="D175" s="6" t="s">
        <v>41</v>
      </c>
      <c r="E175" s="6" t="s">
        <v>283</v>
      </c>
      <c r="F175" s="6" t="s">
        <v>300</v>
      </c>
      <c r="G175" s="6" t="s">
        <v>301</v>
      </c>
      <c r="H175" s="6" t="s">
        <v>302</v>
      </c>
      <c r="I175" s="10">
        <v>2020051290059</v>
      </c>
      <c r="J175" s="6">
        <v>2</v>
      </c>
      <c r="K175" s="6">
        <v>11232</v>
      </c>
      <c r="L175" s="6" t="s">
        <v>303</v>
      </c>
      <c r="M175" s="6" t="s">
        <v>34</v>
      </c>
      <c r="N175" s="9" t="s">
        <v>35</v>
      </c>
      <c r="O175" s="6" t="s">
        <v>288</v>
      </c>
      <c r="P175" s="6" t="s">
        <v>289</v>
      </c>
      <c r="Q175" s="6">
        <v>1</v>
      </c>
      <c r="R175" s="21">
        <f t="shared" si="3"/>
        <v>40183315</v>
      </c>
      <c r="S175" s="21">
        <v>0</v>
      </c>
      <c r="T175" s="16">
        <v>0</v>
      </c>
      <c r="U175" s="16">
        <v>0</v>
      </c>
      <c r="V175" s="20">
        <v>0</v>
      </c>
      <c r="W175" s="16">
        <v>0</v>
      </c>
      <c r="X175" s="20">
        <v>0</v>
      </c>
      <c r="Y175" s="20">
        <v>0</v>
      </c>
      <c r="Z175" s="16">
        <f>32019315+8164000</f>
        <v>40183315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</row>
    <row r="176" spans="1:33" ht="41.25" customHeight="1" x14ac:dyDescent="0.2">
      <c r="A176" s="6">
        <v>1</v>
      </c>
      <c r="B176" s="6" t="s">
        <v>27</v>
      </c>
      <c r="C176" s="6">
        <v>12</v>
      </c>
      <c r="D176" s="6" t="s">
        <v>41</v>
      </c>
      <c r="E176" s="6" t="s">
        <v>283</v>
      </c>
      <c r="F176" s="6" t="s">
        <v>300</v>
      </c>
      <c r="G176" s="6" t="s">
        <v>301</v>
      </c>
      <c r="H176" s="6" t="s">
        <v>302</v>
      </c>
      <c r="I176" s="10">
        <v>2020051290059</v>
      </c>
      <c r="J176" s="6">
        <v>3</v>
      </c>
      <c r="K176" s="6">
        <v>11233</v>
      </c>
      <c r="L176" s="6" t="s">
        <v>304</v>
      </c>
      <c r="M176" s="6" t="s">
        <v>34</v>
      </c>
      <c r="N176" s="9" t="s">
        <v>35</v>
      </c>
      <c r="O176" s="6" t="s">
        <v>288</v>
      </c>
      <c r="P176" s="6" t="s">
        <v>37</v>
      </c>
      <c r="Q176" s="6">
        <v>1</v>
      </c>
      <c r="R176" s="21">
        <f t="shared" si="3"/>
        <v>20108872</v>
      </c>
      <c r="S176" s="21">
        <v>0</v>
      </c>
      <c r="T176" s="16">
        <v>0</v>
      </c>
      <c r="U176" s="16">
        <v>0</v>
      </c>
      <c r="V176" s="20">
        <v>0</v>
      </c>
      <c r="W176" s="16">
        <f>15900000-8291128+12500000</f>
        <v>20108872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20">
        <v>0</v>
      </c>
    </row>
    <row r="177" spans="1:33" ht="41.25" customHeight="1" x14ac:dyDescent="0.2">
      <c r="A177" s="6">
        <v>1</v>
      </c>
      <c r="B177" s="6" t="s">
        <v>27</v>
      </c>
      <c r="C177" s="6">
        <v>12</v>
      </c>
      <c r="D177" s="6" t="s">
        <v>41</v>
      </c>
      <c r="E177" s="6" t="s">
        <v>283</v>
      </c>
      <c r="F177" s="6" t="s">
        <v>305</v>
      </c>
      <c r="G177" s="6" t="s">
        <v>306</v>
      </c>
      <c r="H177" s="6" t="s">
        <v>307</v>
      </c>
      <c r="I177" s="7">
        <v>2020051290061</v>
      </c>
      <c r="J177" s="6">
        <v>1</v>
      </c>
      <c r="K177" s="6">
        <v>11241</v>
      </c>
      <c r="L177" s="6" t="s">
        <v>308</v>
      </c>
      <c r="M177" s="6" t="s">
        <v>78</v>
      </c>
      <c r="N177" s="9" t="s">
        <v>60</v>
      </c>
      <c r="O177" s="6" t="s">
        <v>288</v>
      </c>
      <c r="P177" s="6" t="s">
        <v>37</v>
      </c>
      <c r="Q177" s="9">
        <v>0.5</v>
      </c>
      <c r="R177" s="21">
        <f t="shared" si="3"/>
        <v>199690321</v>
      </c>
      <c r="S177" s="21">
        <v>0</v>
      </c>
      <c r="T177" s="16">
        <v>0</v>
      </c>
      <c r="U177" s="16">
        <v>0</v>
      </c>
      <c r="V177" s="20">
        <v>0</v>
      </c>
      <c r="W177" s="16">
        <f>226642781-8291128-15580666-15580666+12500000</f>
        <v>199690321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</row>
    <row r="178" spans="1:33" ht="41.25" customHeight="1" x14ac:dyDescent="0.2">
      <c r="A178" s="6">
        <v>1</v>
      </c>
      <c r="B178" s="6" t="s">
        <v>27</v>
      </c>
      <c r="C178" s="6">
        <v>12</v>
      </c>
      <c r="D178" s="6" t="s">
        <v>41</v>
      </c>
      <c r="E178" s="6" t="s">
        <v>283</v>
      </c>
      <c r="F178" s="6" t="s">
        <v>305</v>
      </c>
      <c r="G178" s="6" t="s">
        <v>306</v>
      </c>
      <c r="H178" s="6" t="s">
        <v>307</v>
      </c>
      <c r="I178" s="7">
        <v>2020051290061</v>
      </c>
      <c r="J178" s="6">
        <v>1</v>
      </c>
      <c r="K178" s="6">
        <v>11241</v>
      </c>
      <c r="L178" s="6" t="s">
        <v>308</v>
      </c>
      <c r="M178" s="6" t="s">
        <v>78</v>
      </c>
      <c r="N178" s="9" t="s">
        <v>60</v>
      </c>
      <c r="O178" s="6" t="s">
        <v>288</v>
      </c>
      <c r="P178" s="6" t="s">
        <v>289</v>
      </c>
      <c r="Q178" s="9">
        <v>0.5</v>
      </c>
      <c r="R178" s="21">
        <f t="shared" si="3"/>
        <v>28124198</v>
      </c>
      <c r="S178" s="21">
        <v>0</v>
      </c>
      <c r="T178" s="16">
        <v>0</v>
      </c>
      <c r="U178" s="16">
        <v>0</v>
      </c>
      <c r="V178" s="20">
        <v>0</v>
      </c>
      <c r="W178" s="16">
        <v>0</v>
      </c>
      <c r="X178" s="16">
        <v>0</v>
      </c>
      <c r="Y178" s="16">
        <v>0</v>
      </c>
      <c r="Z178" s="16">
        <f>34430147-6305949</f>
        <v>28124198</v>
      </c>
      <c r="AA178" s="16">
        <v>0</v>
      </c>
      <c r="AB178" s="16">
        <v>0</v>
      </c>
      <c r="AC178" s="16">
        <v>0</v>
      </c>
      <c r="AD178" s="16">
        <v>0</v>
      </c>
      <c r="AE178" s="16">
        <v>0</v>
      </c>
      <c r="AF178" s="16">
        <v>0</v>
      </c>
      <c r="AG178" s="16">
        <v>0</v>
      </c>
    </row>
    <row r="179" spans="1:33" ht="41.25" customHeight="1" x14ac:dyDescent="0.2">
      <c r="A179" s="6">
        <v>1</v>
      </c>
      <c r="B179" s="6" t="s">
        <v>27</v>
      </c>
      <c r="C179" s="6">
        <v>12</v>
      </c>
      <c r="D179" s="6" t="s">
        <v>41</v>
      </c>
      <c r="E179" s="6" t="s">
        <v>283</v>
      </c>
      <c r="F179" s="6" t="s">
        <v>305</v>
      </c>
      <c r="G179" s="6" t="s">
        <v>306</v>
      </c>
      <c r="H179" s="6" t="s">
        <v>307</v>
      </c>
      <c r="I179" s="7">
        <v>2020051290061</v>
      </c>
      <c r="J179" s="6">
        <v>1</v>
      </c>
      <c r="K179" s="6">
        <v>11241</v>
      </c>
      <c r="L179" s="6" t="s">
        <v>308</v>
      </c>
      <c r="M179" s="6" t="s">
        <v>78</v>
      </c>
      <c r="N179" s="9" t="s">
        <v>60</v>
      </c>
      <c r="O179" s="6" t="s">
        <v>288</v>
      </c>
      <c r="P179" s="6" t="s">
        <v>289</v>
      </c>
      <c r="Q179" s="9">
        <v>0.5</v>
      </c>
      <c r="R179" s="21">
        <f t="shared" si="3"/>
        <v>27891417</v>
      </c>
      <c r="S179" s="21">
        <v>0</v>
      </c>
      <c r="T179" s="16">
        <v>0</v>
      </c>
      <c r="U179" s="16">
        <v>0</v>
      </c>
      <c r="V179" s="20">
        <v>0</v>
      </c>
      <c r="W179" s="16">
        <v>0</v>
      </c>
      <c r="X179" s="16">
        <v>0</v>
      </c>
      <c r="Y179" s="16">
        <v>0</v>
      </c>
      <c r="Z179" s="16">
        <v>27891417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</row>
    <row r="180" spans="1:33" ht="41.25" customHeight="1" x14ac:dyDescent="0.2">
      <c r="A180" s="6">
        <v>1</v>
      </c>
      <c r="B180" s="6" t="s">
        <v>27</v>
      </c>
      <c r="C180" s="6">
        <v>12</v>
      </c>
      <c r="D180" s="6" t="s">
        <v>41</v>
      </c>
      <c r="E180" s="6" t="s">
        <v>283</v>
      </c>
      <c r="F180" s="6" t="s">
        <v>305</v>
      </c>
      <c r="G180" s="6" t="s">
        <v>306</v>
      </c>
      <c r="H180" s="6" t="s">
        <v>307</v>
      </c>
      <c r="I180" s="7">
        <v>2020051290061</v>
      </c>
      <c r="J180" s="6">
        <v>2</v>
      </c>
      <c r="K180" s="6">
        <v>11242</v>
      </c>
      <c r="L180" s="6" t="s">
        <v>309</v>
      </c>
      <c r="M180" s="6" t="s">
        <v>34</v>
      </c>
      <c r="N180" s="9" t="s">
        <v>35</v>
      </c>
      <c r="O180" s="6" t="s">
        <v>288</v>
      </c>
      <c r="P180" s="6" t="s">
        <v>289</v>
      </c>
      <c r="Q180" s="6">
        <v>1</v>
      </c>
      <c r="R180" s="21">
        <f t="shared" si="3"/>
        <v>24704760</v>
      </c>
      <c r="S180" s="21">
        <v>0</v>
      </c>
      <c r="T180" s="16">
        <v>0</v>
      </c>
      <c r="U180" s="16">
        <v>0</v>
      </c>
      <c r="V180" s="20">
        <v>0</v>
      </c>
      <c r="W180" s="16">
        <v>0</v>
      </c>
      <c r="X180" s="16">
        <v>0</v>
      </c>
      <c r="Y180" s="16">
        <v>0</v>
      </c>
      <c r="Z180" s="16">
        <v>24704760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</row>
    <row r="181" spans="1:33" ht="41.25" customHeight="1" x14ac:dyDescent="0.2">
      <c r="A181" s="6">
        <v>1</v>
      </c>
      <c r="B181" s="6" t="s">
        <v>27</v>
      </c>
      <c r="C181" s="6">
        <v>12</v>
      </c>
      <c r="D181" s="6" t="s">
        <v>41</v>
      </c>
      <c r="E181" s="6" t="s">
        <v>283</v>
      </c>
      <c r="F181" s="6" t="s">
        <v>305</v>
      </c>
      <c r="G181" s="6" t="s">
        <v>306</v>
      </c>
      <c r="H181" s="6" t="s">
        <v>307</v>
      </c>
      <c r="I181" s="7">
        <v>2020051290061</v>
      </c>
      <c r="J181" s="6">
        <v>3</v>
      </c>
      <c r="K181" s="6">
        <v>11243</v>
      </c>
      <c r="L181" s="6" t="s">
        <v>310</v>
      </c>
      <c r="M181" s="6" t="s">
        <v>34</v>
      </c>
      <c r="N181" s="9" t="s">
        <v>35</v>
      </c>
      <c r="O181" s="6" t="s">
        <v>288</v>
      </c>
      <c r="P181" s="6" t="s">
        <v>679</v>
      </c>
      <c r="Q181" s="6">
        <v>5</v>
      </c>
      <c r="R181" s="21">
        <f t="shared" si="3"/>
        <v>280000000</v>
      </c>
      <c r="S181" s="21">
        <v>0</v>
      </c>
      <c r="T181" s="16">
        <v>0</v>
      </c>
      <c r="U181" s="16">
        <v>0</v>
      </c>
      <c r="V181" s="16">
        <v>280000000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</row>
    <row r="182" spans="1:33" ht="41.25" customHeight="1" x14ac:dyDescent="0.2">
      <c r="A182" s="6">
        <v>1</v>
      </c>
      <c r="B182" s="6" t="s">
        <v>27</v>
      </c>
      <c r="C182" s="6">
        <v>12</v>
      </c>
      <c r="D182" s="6" t="s">
        <v>41</v>
      </c>
      <c r="E182" s="6" t="s">
        <v>283</v>
      </c>
      <c r="F182" s="6" t="s">
        <v>305</v>
      </c>
      <c r="G182" s="6" t="s">
        <v>306</v>
      </c>
      <c r="H182" s="6" t="s">
        <v>307</v>
      </c>
      <c r="I182" s="7">
        <v>2020051290061</v>
      </c>
      <c r="J182" s="6">
        <v>3</v>
      </c>
      <c r="K182" s="6">
        <v>11243</v>
      </c>
      <c r="L182" s="6" t="s">
        <v>310</v>
      </c>
      <c r="M182" s="6" t="s">
        <v>34</v>
      </c>
      <c r="N182" s="9" t="s">
        <v>35</v>
      </c>
      <c r="O182" s="6" t="s">
        <v>288</v>
      </c>
      <c r="P182" s="6" t="s">
        <v>289</v>
      </c>
      <c r="Q182" s="6">
        <v>5</v>
      </c>
      <c r="R182" s="21">
        <f t="shared" si="3"/>
        <v>16342769</v>
      </c>
      <c r="S182" s="21">
        <v>0</v>
      </c>
      <c r="T182" s="16">
        <v>0</v>
      </c>
      <c r="U182" s="16">
        <v>0</v>
      </c>
      <c r="V182" s="20">
        <v>0</v>
      </c>
      <c r="W182" s="16">
        <v>0</v>
      </c>
      <c r="X182" s="16">
        <v>0</v>
      </c>
      <c r="Y182" s="16">
        <v>0</v>
      </c>
      <c r="Z182" s="16">
        <v>16342769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</row>
    <row r="183" spans="1:33" ht="41.25" customHeight="1" x14ac:dyDescent="0.2">
      <c r="A183" s="6">
        <v>1</v>
      </c>
      <c r="B183" s="6" t="s">
        <v>27</v>
      </c>
      <c r="C183" s="6">
        <v>12</v>
      </c>
      <c r="D183" s="6" t="s">
        <v>41</v>
      </c>
      <c r="E183" s="6" t="s">
        <v>283</v>
      </c>
      <c r="F183" s="6" t="s">
        <v>305</v>
      </c>
      <c r="G183" s="6" t="s">
        <v>306</v>
      </c>
      <c r="H183" s="6" t="s">
        <v>307</v>
      </c>
      <c r="I183" s="7">
        <v>2020051290061</v>
      </c>
      <c r="J183" s="6">
        <v>3</v>
      </c>
      <c r="K183" s="6">
        <v>11243</v>
      </c>
      <c r="L183" s="6" t="s">
        <v>310</v>
      </c>
      <c r="M183" s="6" t="s">
        <v>34</v>
      </c>
      <c r="N183" s="9" t="s">
        <v>35</v>
      </c>
      <c r="O183" s="6" t="s">
        <v>288</v>
      </c>
      <c r="P183" s="6" t="s">
        <v>37</v>
      </c>
      <c r="Q183" s="6">
        <v>5</v>
      </c>
      <c r="R183" s="21">
        <f t="shared" si="3"/>
        <v>131817326</v>
      </c>
      <c r="S183" s="21">
        <v>0</v>
      </c>
      <c r="T183" s="16">
        <v>0</v>
      </c>
      <c r="U183" s="16">
        <v>0</v>
      </c>
      <c r="V183" s="20">
        <v>0</v>
      </c>
      <c r="W183" s="16">
        <f>143189135-8291135-15580666-8+12500000</f>
        <v>131817326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6">
        <v>0</v>
      </c>
    </row>
    <row r="184" spans="1:33" ht="45" customHeight="1" x14ac:dyDescent="0.2">
      <c r="A184" s="6">
        <v>1</v>
      </c>
      <c r="B184" s="6" t="s">
        <v>27</v>
      </c>
      <c r="C184" s="6">
        <v>12</v>
      </c>
      <c r="D184" s="6" t="s">
        <v>41</v>
      </c>
      <c r="E184" s="6" t="s">
        <v>283</v>
      </c>
      <c r="F184" s="6" t="s">
        <v>293</v>
      </c>
      <c r="G184" s="6" t="s">
        <v>294</v>
      </c>
      <c r="H184" s="6" t="s">
        <v>665</v>
      </c>
      <c r="I184" s="7">
        <v>2020051290010</v>
      </c>
      <c r="J184" s="6">
        <v>5</v>
      </c>
      <c r="K184" s="6">
        <v>11225</v>
      </c>
      <c r="L184" s="6" t="s">
        <v>311</v>
      </c>
      <c r="M184" s="6" t="s">
        <v>34</v>
      </c>
      <c r="N184" s="9" t="s">
        <v>35</v>
      </c>
      <c r="O184" s="6" t="s">
        <v>204</v>
      </c>
      <c r="P184" s="6" t="s">
        <v>52</v>
      </c>
      <c r="Q184" s="6">
        <v>1</v>
      </c>
      <c r="R184" s="21">
        <f t="shared" si="3"/>
        <v>113449920</v>
      </c>
      <c r="S184" s="21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8">
        <f>22612076+90837844</f>
        <v>113449920</v>
      </c>
      <c r="AE184" s="20">
        <v>0</v>
      </c>
      <c r="AF184" s="20">
        <v>0</v>
      </c>
      <c r="AG184" s="20">
        <v>0</v>
      </c>
    </row>
    <row r="185" spans="1:33" ht="45" customHeight="1" x14ac:dyDescent="0.2">
      <c r="A185" s="6">
        <v>1</v>
      </c>
      <c r="B185" s="6" t="s">
        <v>27</v>
      </c>
      <c r="C185" s="6">
        <v>12</v>
      </c>
      <c r="D185" s="6" t="s">
        <v>41</v>
      </c>
      <c r="E185" s="6" t="s">
        <v>283</v>
      </c>
      <c r="F185" s="6" t="s">
        <v>300</v>
      </c>
      <c r="G185" s="6" t="s">
        <v>301</v>
      </c>
      <c r="H185" s="6" t="s">
        <v>665</v>
      </c>
      <c r="I185" s="7">
        <v>2020051290010</v>
      </c>
      <c r="J185" s="6">
        <v>1</v>
      </c>
      <c r="K185" s="6">
        <v>11231</v>
      </c>
      <c r="L185" s="6" t="s">
        <v>312</v>
      </c>
      <c r="M185" s="6" t="s">
        <v>34</v>
      </c>
      <c r="N185" s="9" t="s">
        <v>35</v>
      </c>
      <c r="O185" s="6" t="s">
        <v>204</v>
      </c>
      <c r="P185" s="6" t="s">
        <v>52</v>
      </c>
      <c r="Q185" s="6">
        <v>1</v>
      </c>
      <c r="R185" s="21">
        <f t="shared" si="3"/>
        <v>129217671</v>
      </c>
      <c r="S185" s="21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8">
        <f>22612076+106605595</f>
        <v>129217671</v>
      </c>
      <c r="AE185" s="20">
        <v>0</v>
      </c>
      <c r="AF185" s="20">
        <v>0</v>
      </c>
      <c r="AG185" s="20">
        <v>0</v>
      </c>
    </row>
    <row r="186" spans="1:33" ht="44.25" customHeight="1" x14ac:dyDescent="0.2">
      <c r="A186" s="6">
        <v>2</v>
      </c>
      <c r="B186" s="6" t="s">
        <v>313</v>
      </c>
      <c r="C186" s="6">
        <v>1</v>
      </c>
      <c r="D186" s="6" t="s">
        <v>314</v>
      </c>
      <c r="E186" s="6" t="s">
        <v>315</v>
      </c>
      <c r="F186" s="6" t="s">
        <v>316</v>
      </c>
      <c r="G186" s="6" t="s">
        <v>317</v>
      </c>
      <c r="H186" s="6" t="s">
        <v>318</v>
      </c>
      <c r="I186" s="7">
        <v>2020051290050</v>
      </c>
      <c r="J186" s="6">
        <v>1</v>
      </c>
      <c r="K186" s="6">
        <v>2111</v>
      </c>
      <c r="L186" s="6" t="s">
        <v>319</v>
      </c>
      <c r="M186" s="6" t="s">
        <v>34</v>
      </c>
      <c r="N186" s="9" t="s">
        <v>179</v>
      </c>
      <c r="O186" s="6" t="s">
        <v>682</v>
      </c>
      <c r="P186" s="6" t="s">
        <v>37</v>
      </c>
      <c r="Q186" s="6">
        <v>4</v>
      </c>
      <c r="R186" s="21">
        <f t="shared" si="3"/>
        <v>57151863</v>
      </c>
      <c r="S186" s="21">
        <v>0</v>
      </c>
      <c r="T186" s="16">
        <v>0</v>
      </c>
      <c r="U186" s="16">
        <v>0</v>
      </c>
      <c r="V186" s="20">
        <v>0</v>
      </c>
      <c r="W186" s="16">
        <f>42698000+14453863</f>
        <v>57151863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0</v>
      </c>
      <c r="AE186" s="16">
        <v>0</v>
      </c>
      <c r="AF186" s="16">
        <v>0</v>
      </c>
      <c r="AG186" s="16">
        <v>0</v>
      </c>
    </row>
    <row r="187" spans="1:33" ht="44.25" customHeight="1" x14ac:dyDescent="0.2">
      <c r="A187" s="6">
        <v>2</v>
      </c>
      <c r="B187" s="6" t="s">
        <v>313</v>
      </c>
      <c r="C187" s="6">
        <v>1</v>
      </c>
      <c r="D187" s="6" t="s">
        <v>314</v>
      </c>
      <c r="E187" s="6" t="s">
        <v>315</v>
      </c>
      <c r="F187" s="6" t="s">
        <v>316</v>
      </c>
      <c r="G187" s="6" t="s">
        <v>317</v>
      </c>
      <c r="H187" s="6" t="s">
        <v>318</v>
      </c>
      <c r="I187" s="7">
        <v>2020051290050</v>
      </c>
      <c r="J187" s="6">
        <v>1</v>
      </c>
      <c r="K187" s="6">
        <v>2111</v>
      </c>
      <c r="L187" s="6" t="s">
        <v>319</v>
      </c>
      <c r="M187" s="6" t="s">
        <v>34</v>
      </c>
      <c r="N187" s="9" t="s">
        <v>179</v>
      </c>
      <c r="O187" s="6" t="s">
        <v>682</v>
      </c>
      <c r="P187" s="6" t="s">
        <v>52</v>
      </c>
      <c r="Q187" s="6">
        <v>4</v>
      </c>
      <c r="R187" s="21">
        <f t="shared" si="3"/>
        <v>21995252</v>
      </c>
      <c r="S187" s="21">
        <v>0</v>
      </c>
      <c r="T187" s="16">
        <v>0</v>
      </c>
      <c r="U187" s="16">
        <v>0</v>
      </c>
      <c r="V187" s="20">
        <v>0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6">
        <f>30043252-8048000</f>
        <v>21995252</v>
      </c>
      <c r="AE187" s="16">
        <v>0</v>
      </c>
      <c r="AF187" s="16">
        <v>0</v>
      </c>
      <c r="AG187" s="16">
        <v>0</v>
      </c>
    </row>
    <row r="188" spans="1:33" ht="44.25" customHeight="1" x14ac:dyDescent="0.2">
      <c r="A188" s="6">
        <v>2</v>
      </c>
      <c r="B188" s="6" t="s">
        <v>313</v>
      </c>
      <c r="C188" s="6">
        <v>1</v>
      </c>
      <c r="D188" s="6" t="s">
        <v>314</v>
      </c>
      <c r="E188" s="6" t="s">
        <v>315</v>
      </c>
      <c r="F188" s="6" t="s">
        <v>316</v>
      </c>
      <c r="G188" s="6" t="s">
        <v>317</v>
      </c>
      <c r="H188" s="6" t="s">
        <v>318</v>
      </c>
      <c r="I188" s="7">
        <v>2020051290050</v>
      </c>
      <c r="J188" s="6">
        <v>2</v>
      </c>
      <c r="K188" s="6">
        <v>2112</v>
      </c>
      <c r="L188" s="6" t="s">
        <v>321</v>
      </c>
      <c r="M188" s="6" t="s">
        <v>46</v>
      </c>
      <c r="N188" s="9" t="s">
        <v>60</v>
      </c>
      <c r="O188" s="6" t="s">
        <v>682</v>
      </c>
      <c r="P188" s="6" t="s">
        <v>37</v>
      </c>
      <c r="Q188" s="9">
        <v>1</v>
      </c>
      <c r="R188" s="21">
        <f t="shared" si="3"/>
        <v>56583863</v>
      </c>
      <c r="S188" s="21">
        <v>0</v>
      </c>
      <c r="T188" s="16">
        <v>0</v>
      </c>
      <c r="U188" s="16">
        <v>0</v>
      </c>
      <c r="V188" s="20">
        <v>0</v>
      </c>
      <c r="W188" s="16">
        <f>42130000+14453863</f>
        <v>56583863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</row>
    <row r="189" spans="1:33" ht="44.25" customHeight="1" x14ac:dyDescent="0.2">
      <c r="A189" s="6">
        <v>2</v>
      </c>
      <c r="B189" s="6" t="s">
        <v>313</v>
      </c>
      <c r="C189" s="6">
        <v>1</v>
      </c>
      <c r="D189" s="6" t="s">
        <v>314</v>
      </c>
      <c r="E189" s="6" t="s">
        <v>315</v>
      </c>
      <c r="F189" s="6" t="s">
        <v>322</v>
      </c>
      <c r="G189" s="6" t="s">
        <v>320</v>
      </c>
      <c r="H189" s="6" t="s">
        <v>318</v>
      </c>
      <c r="I189" s="7">
        <v>2020051290050</v>
      </c>
      <c r="J189" s="6">
        <v>1</v>
      </c>
      <c r="K189" s="6">
        <v>2121</v>
      </c>
      <c r="L189" s="6" t="s">
        <v>323</v>
      </c>
      <c r="M189" s="6" t="s">
        <v>34</v>
      </c>
      <c r="N189" s="9" t="s">
        <v>35</v>
      </c>
      <c r="O189" s="6" t="s">
        <v>682</v>
      </c>
      <c r="P189" s="6" t="s">
        <v>52</v>
      </c>
      <c r="Q189" s="6">
        <v>25</v>
      </c>
      <c r="R189" s="21">
        <f t="shared" si="3"/>
        <v>118851965</v>
      </c>
      <c r="S189" s="21">
        <v>0</v>
      </c>
      <c r="T189" s="16">
        <v>0</v>
      </c>
      <c r="U189" s="16">
        <v>0</v>
      </c>
      <c r="V189" s="20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f>126899965-8048000</f>
        <v>118851965</v>
      </c>
      <c r="AE189" s="16">
        <v>0</v>
      </c>
      <c r="AF189" s="16">
        <v>0</v>
      </c>
      <c r="AG189" s="16">
        <v>0</v>
      </c>
    </row>
    <row r="190" spans="1:33" ht="43.5" customHeight="1" x14ac:dyDescent="0.2">
      <c r="A190" s="6">
        <v>2</v>
      </c>
      <c r="B190" s="6" t="s">
        <v>313</v>
      </c>
      <c r="C190" s="6">
        <v>1</v>
      </c>
      <c r="D190" s="6" t="s">
        <v>314</v>
      </c>
      <c r="E190" s="6" t="s">
        <v>315</v>
      </c>
      <c r="F190" s="6" t="s">
        <v>322</v>
      </c>
      <c r="G190" s="6" t="s">
        <v>320</v>
      </c>
      <c r="H190" s="6" t="s">
        <v>318</v>
      </c>
      <c r="I190" s="7">
        <v>2020051290050</v>
      </c>
      <c r="J190" s="6">
        <v>2</v>
      </c>
      <c r="K190" s="6">
        <v>2122</v>
      </c>
      <c r="L190" s="6" t="s">
        <v>324</v>
      </c>
      <c r="M190" s="6" t="s">
        <v>34</v>
      </c>
      <c r="N190" s="9" t="s">
        <v>35</v>
      </c>
      <c r="O190" s="6" t="s">
        <v>682</v>
      </c>
      <c r="P190" s="6" t="s">
        <v>52</v>
      </c>
      <c r="Q190" s="6">
        <v>1</v>
      </c>
      <c r="R190" s="21">
        <f t="shared" si="3"/>
        <v>41693353</v>
      </c>
      <c r="S190" s="21">
        <v>0</v>
      </c>
      <c r="T190" s="16">
        <v>0</v>
      </c>
      <c r="U190" s="16">
        <v>0</v>
      </c>
      <c r="V190" s="20">
        <v>0</v>
      </c>
      <c r="W190" s="20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f>49741353-8048000</f>
        <v>41693353</v>
      </c>
      <c r="AE190" s="16">
        <v>0</v>
      </c>
      <c r="AF190" s="16">
        <v>0</v>
      </c>
      <c r="AG190" s="16">
        <v>0</v>
      </c>
    </row>
    <row r="191" spans="1:33" ht="43.5" customHeight="1" x14ac:dyDescent="0.2">
      <c r="A191" s="6">
        <v>2</v>
      </c>
      <c r="B191" s="6" t="s">
        <v>313</v>
      </c>
      <c r="C191" s="6">
        <v>1</v>
      </c>
      <c r="D191" s="6" t="s">
        <v>314</v>
      </c>
      <c r="E191" s="6" t="s">
        <v>315</v>
      </c>
      <c r="F191" s="6" t="s">
        <v>322</v>
      </c>
      <c r="G191" s="6" t="s">
        <v>320</v>
      </c>
      <c r="H191" s="6" t="s">
        <v>318</v>
      </c>
      <c r="I191" s="7">
        <v>2020051290050</v>
      </c>
      <c r="J191" s="6">
        <v>2</v>
      </c>
      <c r="K191" s="6">
        <v>2122</v>
      </c>
      <c r="L191" s="6" t="s">
        <v>324</v>
      </c>
      <c r="M191" s="6" t="s">
        <v>34</v>
      </c>
      <c r="N191" s="9" t="s">
        <v>35</v>
      </c>
      <c r="O191" s="6" t="s">
        <v>682</v>
      </c>
      <c r="P191" s="6" t="s">
        <v>37</v>
      </c>
      <c r="Q191" s="6">
        <v>1</v>
      </c>
      <c r="R191" s="21">
        <f t="shared" si="3"/>
        <v>32394245</v>
      </c>
      <c r="S191" s="21">
        <v>0</v>
      </c>
      <c r="T191" s="16">
        <v>0</v>
      </c>
      <c r="U191" s="16">
        <v>0</v>
      </c>
      <c r="V191" s="20">
        <v>0</v>
      </c>
      <c r="W191" s="16">
        <f>17940382+14453863</f>
        <v>32394245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6">
        <v>0</v>
      </c>
      <c r="AG191" s="16">
        <v>0</v>
      </c>
    </row>
    <row r="192" spans="1:33" ht="43.5" customHeight="1" x14ac:dyDescent="0.2">
      <c r="A192" s="6">
        <v>2</v>
      </c>
      <c r="B192" s="6" t="s">
        <v>313</v>
      </c>
      <c r="C192" s="6">
        <v>1</v>
      </c>
      <c r="D192" s="6" t="s">
        <v>314</v>
      </c>
      <c r="E192" s="6" t="s">
        <v>315</v>
      </c>
      <c r="F192" s="6" t="s">
        <v>325</v>
      </c>
      <c r="G192" s="6" t="s">
        <v>326</v>
      </c>
      <c r="H192" s="6" t="s">
        <v>318</v>
      </c>
      <c r="I192" s="7">
        <v>2020051290050</v>
      </c>
      <c r="J192" s="6">
        <v>1</v>
      </c>
      <c r="K192" s="6">
        <v>2131</v>
      </c>
      <c r="L192" s="6" t="s">
        <v>327</v>
      </c>
      <c r="M192" s="6" t="s">
        <v>34</v>
      </c>
      <c r="N192" s="9" t="s">
        <v>35</v>
      </c>
      <c r="O192" s="6" t="s">
        <v>682</v>
      </c>
      <c r="P192" s="6" t="s">
        <v>37</v>
      </c>
      <c r="Q192" s="6">
        <v>1</v>
      </c>
      <c r="R192" s="21">
        <f t="shared" si="3"/>
        <v>29453863</v>
      </c>
      <c r="S192" s="21">
        <v>0</v>
      </c>
      <c r="T192" s="16">
        <v>0</v>
      </c>
      <c r="U192" s="16">
        <v>0</v>
      </c>
      <c r="V192" s="20">
        <v>0</v>
      </c>
      <c r="W192" s="16">
        <f>15000000+14453863</f>
        <v>29453863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</row>
    <row r="193" spans="1:33" ht="43.5" customHeight="1" x14ac:dyDescent="0.2">
      <c r="A193" s="6">
        <v>2</v>
      </c>
      <c r="B193" s="6" t="s">
        <v>313</v>
      </c>
      <c r="C193" s="6">
        <v>1</v>
      </c>
      <c r="D193" s="6" t="s">
        <v>314</v>
      </c>
      <c r="E193" s="6" t="s">
        <v>315</v>
      </c>
      <c r="F193" s="6" t="s">
        <v>325</v>
      </c>
      <c r="G193" s="6" t="s">
        <v>326</v>
      </c>
      <c r="H193" s="6" t="s">
        <v>318</v>
      </c>
      <c r="I193" s="7">
        <v>2020051290050</v>
      </c>
      <c r="J193" s="6">
        <v>2</v>
      </c>
      <c r="K193" s="6">
        <v>2132</v>
      </c>
      <c r="L193" s="6" t="s">
        <v>328</v>
      </c>
      <c r="M193" s="6" t="s">
        <v>34</v>
      </c>
      <c r="N193" s="9" t="s">
        <v>35</v>
      </c>
      <c r="O193" s="6" t="s">
        <v>682</v>
      </c>
      <c r="P193" s="6" t="s">
        <v>37</v>
      </c>
      <c r="Q193" s="6">
        <v>1</v>
      </c>
      <c r="R193" s="21">
        <f t="shared" si="3"/>
        <v>21453863</v>
      </c>
      <c r="S193" s="21">
        <v>0</v>
      </c>
      <c r="T193" s="16">
        <v>0</v>
      </c>
      <c r="U193" s="16">
        <v>0</v>
      </c>
      <c r="V193" s="20">
        <v>0</v>
      </c>
      <c r="W193" s="16">
        <f>7000000+14453863</f>
        <v>21453863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</row>
    <row r="194" spans="1:33" ht="45" customHeight="1" x14ac:dyDescent="0.2">
      <c r="A194" s="6">
        <v>2</v>
      </c>
      <c r="B194" s="6" t="s">
        <v>313</v>
      </c>
      <c r="C194" s="6">
        <v>1</v>
      </c>
      <c r="D194" s="6" t="s">
        <v>314</v>
      </c>
      <c r="E194" s="6" t="s">
        <v>315</v>
      </c>
      <c r="F194" s="6" t="s">
        <v>329</v>
      </c>
      <c r="G194" s="6" t="s">
        <v>330</v>
      </c>
      <c r="H194" s="6" t="s">
        <v>318</v>
      </c>
      <c r="I194" s="7">
        <v>2020051290050</v>
      </c>
      <c r="J194" s="6">
        <v>1</v>
      </c>
      <c r="K194" s="6">
        <v>2141</v>
      </c>
      <c r="L194" s="6" t="s">
        <v>331</v>
      </c>
      <c r="M194" s="6" t="s">
        <v>34</v>
      </c>
      <c r="N194" s="9" t="s">
        <v>35</v>
      </c>
      <c r="O194" s="6" t="s">
        <v>682</v>
      </c>
      <c r="P194" s="6" t="s">
        <v>37</v>
      </c>
      <c r="Q194" s="6">
        <v>1</v>
      </c>
      <c r="R194" s="21">
        <f t="shared" si="3"/>
        <v>24953863</v>
      </c>
      <c r="S194" s="21">
        <v>0</v>
      </c>
      <c r="T194" s="16">
        <v>0</v>
      </c>
      <c r="U194" s="16">
        <v>0</v>
      </c>
      <c r="V194" s="20">
        <v>0</v>
      </c>
      <c r="W194" s="16">
        <f>10500000+14453863</f>
        <v>24953863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</row>
    <row r="195" spans="1:33" ht="45" customHeight="1" x14ac:dyDescent="0.2">
      <c r="A195" s="6">
        <v>2</v>
      </c>
      <c r="B195" s="6" t="s">
        <v>313</v>
      </c>
      <c r="C195" s="6">
        <v>1</v>
      </c>
      <c r="D195" s="6" t="s">
        <v>314</v>
      </c>
      <c r="E195" s="6" t="s">
        <v>315</v>
      </c>
      <c r="F195" s="6" t="s">
        <v>329</v>
      </c>
      <c r="G195" s="6" t="s">
        <v>330</v>
      </c>
      <c r="H195" s="6" t="s">
        <v>318</v>
      </c>
      <c r="I195" s="7">
        <v>2020051290050</v>
      </c>
      <c r="J195" s="6">
        <v>2</v>
      </c>
      <c r="K195" s="6">
        <v>2142</v>
      </c>
      <c r="L195" s="6" t="s">
        <v>332</v>
      </c>
      <c r="M195" s="6" t="s">
        <v>34</v>
      </c>
      <c r="N195" s="9" t="s">
        <v>35</v>
      </c>
      <c r="O195" s="6" t="s">
        <v>682</v>
      </c>
      <c r="P195" s="6" t="s">
        <v>37</v>
      </c>
      <c r="Q195" s="6">
        <v>1</v>
      </c>
      <c r="R195" s="21">
        <f t="shared" si="3"/>
        <v>26453863</v>
      </c>
      <c r="S195" s="21">
        <v>0</v>
      </c>
      <c r="T195" s="16">
        <v>0</v>
      </c>
      <c r="U195" s="16">
        <v>0</v>
      </c>
      <c r="V195" s="20">
        <v>0</v>
      </c>
      <c r="W195" s="16">
        <f>12000000+14453863</f>
        <v>26453863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6">
        <v>0</v>
      </c>
    </row>
    <row r="196" spans="1:33" ht="43.5" customHeight="1" x14ac:dyDescent="0.2">
      <c r="A196" s="6">
        <v>2</v>
      </c>
      <c r="B196" s="6" t="s">
        <v>313</v>
      </c>
      <c r="C196" s="6">
        <v>2</v>
      </c>
      <c r="D196" s="6" t="s">
        <v>333</v>
      </c>
      <c r="E196" s="6" t="s">
        <v>334</v>
      </c>
      <c r="F196" s="6" t="s">
        <v>335</v>
      </c>
      <c r="G196" s="6" t="s">
        <v>143</v>
      </c>
      <c r="H196" s="6" t="s">
        <v>675</v>
      </c>
      <c r="I196" s="7">
        <v>2020051290034</v>
      </c>
      <c r="J196" s="6">
        <v>1</v>
      </c>
      <c r="K196" s="6">
        <v>2211</v>
      </c>
      <c r="L196" s="6" t="s">
        <v>336</v>
      </c>
      <c r="M196" s="6" t="s">
        <v>78</v>
      </c>
      <c r="N196" s="9" t="s">
        <v>60</v>
      </c>
      <c r="O196" s="6" t="s">
        <v>682</v>
      </c>
      <c r="P196" s="6" t="s">
        <v>52</v>
      </c>
      <c r="Q196" s="9">
        <v>1</v>
      </c>
      <c r="R196" s="21">
        <f t="shared" si="3"/>
        <v>72943140</v>
      </c>
      <c r="S196" s="21">
        <v>0</v>
      </c>
      <c r="T196" s="16">
        <v>0</v>
      </c>
      <c r="U196" s="16">
        <v>0</v>
      </c>
      <c r="V196" s="20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f>80991140-8048000</f>
        <v>72943140</v>
      </c>
      <c r="AE196" s="16">
        <v>0</v>
      </c>
      <c r="AF196" s="16">
        <v>0</v>
      </c>
      <c r="AG196" s="16">
        <v>0</v>
      </c>
    </row>
    <row r="197" spans="1:33" ht="43.5" customHeight="1" x14ac:dyDescent="0.2">
      <c r="A197" s="6">
        <v>2</v>
      </c>
      <c r="B197" s="6" t="s">
        <v>313</v>
      </c>
      <c r="C197" s="6">
        <v>2</v>
      </c>
      <c r="D197" s="6" t="s">
        <v>333</v>
      </c>
      <c r="E197" s="6" t="s">
        <v>334</v>
      </c>
      <c r="F197" s="6" t="s">
        <v>335</v>
      </c>
      <c r="G197" s="6" t="s">
        <v>143</v>
      </c>
      <c r="H197" s="6" t="s">
        <v>663</v>
      </c>
      <c r="I197" s="7">
        <v>2020051290034</v>
      </c>
      <c r="J197" s="6">
        <v>2</v>
      </c>
      <c r="K197" s="6">
        <v>2212</v>
      </c>
      <c r="L197" s="6" t="s">
        <v>337</v>
      </c>
      <c r="M197" s="6" t="s">
        <v>34</v>
      </c>
      <c r="N197" s="9" t="s">
        <v>179</v>
      </c>
      <c r="O197" s="6" t="s">
        <v>682</v>
      </c>
      <c r="P197" s="6" t="s">
        <v>52</v>
      </c>
      <c r="Q197" s="6">
        <v>4</v>
      </c>
      <c r="R197" s="21">
        <f>SUM(S197:AG197)</f>
        <v>38872754</v>
      </c>
      <c r="S197" s="21">
        <v>0</v>
      </c>
      <c r="T197" s="16">
        <v>0</v>
      </c>
      <c r="U197" s="16">
        <v>0</v>
      </c>
      <c r="V197" s="20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f>46920754-8048000</f>
        <v>38872754</v>
      </c>
      <c r="AE197" s="16">
        <v>0</v>
      </c>
      <c r="AF197" s="16">
        <v>0</v>
      </c>
      <c r="AG197" s="16">
        <v>0</v>
      </c>
    </row>
    <row r="198" spans="1:33" ht="60" customHeight="1" x14ac:dyDescent="0.2">
      <c r="A198" s="6">
        <v>2</v>
      </c>
      <c r="B198" s="6" t="s">
        <v>313</v>
      </c>
      <c r="C198" s="6">
        <v>2</v>
      </c>
      <c r="D198" s="6" t="s">
        <v>333</v>
      </c>
      <c r="E198" s="6" t="s">
        <v>334</v>
      </c>
      <c r="F198" s="6" t="s">
        <v>335</v>
      </c>
      <c r="G198" s="6" t="s">
        <v>143</v>
      </c>
      <c r="H198" s="6" t="s">
        <v>663</v>
      </c>
      <c r="I198" s="7">
        <v>2020051290034</v>
      </c>
      <c r="J198" s="6">
        <v>3</v>
      </c>
      <c r="K198" s="6">
        <v>2213</v>
      </c>
      <c r="L198" s="6" t="s">
        <v>338</v>
      </c>
      <c r="M198" s="6" t="s">
        <v>34</v>
      </c>
      <c r="N198" s="9" t="s">
        <v>35</v>
      </c>
      <c r="O198" s="6" t="s">
        <v>682</v>
      </c>
      <c r="P198" s="6" t="s">
        <v>52</v>
      </c>
      <c r="Q198" s="6">
        <v>1</v>
      </c>
      <c r="R198" s="21">
        <v>41952000</v>
      </c>
      <c r="S198" s="21">
        <v>0</v>
      </c>
      <c r="T198" s="16">
        <v>0</v>
      </c>
      <c r="U198" s="16">
        <v>0</v>
      </c>
      <c r="V198" s="20">
        <v>0</v>
      </c>
      <c r="W198" s="16">
        <f ca="1">+W198:BZW220</f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6">
        <f>50000000-8048000</f>
        <v>41952000</v>
      </c>
      <c r="AE198" s="17">
        <v>0</v>
      </c>
      <c r="AF198" s="16">
        <v>0</v>
      </c>
      <c r="AG198" s="16">
        <v>0</v>
      </c>
    </row>
    <row r="199" spans="1:33" ht="45" customHeight="1" x14ac:dyDescent="0.2">
      <c r="A199" s="6">
        <v>2</v>
      </c>
      <c r="B199" s="6" t="s">
        <v>313</v>
      </c>
      <c r="C199" s="6">
        <v>2</v>
      </c>
      <c r="D199" s="6" t="s">
        <v>333</v>
      </c>
      <c r="E199" s="6" t="s">
        <v>334</v>
      </c>
      <c r="F199" s="6" t="s">
        <v>335</v>
      </c>
      <c r="G199" s="6" t="s">
        <v>143</v>
      </c>
      <c r="H199" s="6" t="s">
        <v>663</v>
      </c>
      <c r="I199" s="7">
        <v>2020051290034</v>
      </c>
      <c r="J199" s="6">
        <v>4</v>
      </c>
      <c r="K199" s="6">
        <v>2214</v>
      </c>
      <c r="L199" s="6" t="s">
        <v>339</v>
      </c>
      <c r="M199" s="6" t="s">
        <v>34</v>
      </c>
      <c r="N199" s="9" t="s">
        <v>35</v>
      </c>
      <c r="O199" s="6" t="s">
        <v>682</v>
      </c>
      <c r="P199" s="6" t="s">
        <v>52</v>
      </c>
      <c r="Q199" s="6">
        <v>1</v>
      </c>
      <c r="R199" s="21">
        <f t="shared" ref="R199:R236" si="4">SUM(S199:AG199)</f>
        <v>23270145</v>
      </c>
      <c r="S199" s="21">
        <v>0</v>
      </c>
      <c r="T199" s="16">
        <v>0</v>
      </c>
      <c r="U199" s="16">
        <v>0</v>
      </c>
      <c r="V199" s="20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f>31318145-8048000</f>
        <v>23270145</v>
      </c>
      <c r="AE199" s="16">
        <v>0</v>
      </c>
      <c r="AF199" s="16">
        <v>0</v>
      </c>
      <c r="AG199" s="16">
        <v>0</v>
      </c>
    </row>
    <row r="200" spans="1:33" ht="30" customHeight="1" x14ac:dyDescent="0.2">
      <c r="A200" s="6">
        <v>2</v>
      </c>
      <c r="B200" s="6" t="s">
        <v>313</v>
      </c>
      <c r="C200" s="6">
        <v>2</v>
      </c>
      <c r="D200" s="6" t="s">
        <v>333</v>
      </c>
      <c r="E200" s="6" t="s">
        <v>334</v>
      </c>
      <c r="F200" s="6" t="s">
        <v>335</v>
      </c>
      <c r="G200" s="6" t="s">
        <v>143</v>
      </c>
      <c r="H200" s="6" t="s">
        <v>663</v>
      </c>
      <c r="I200" s="7">
        <v>2020051290034</v>
      </c>
      <c r="J200" s="6">
        <v>5</v>
      </c>
      <c r="K200" s="6">
        <v>2215</v>
      </c>
      <c r="L200" s="6" t="s">
        <v>340</v>
      </c>
      <c r="M200" s="6" t="s">
        <v>34</v>
      </c>
      <c r="N200" s="9" t="s">
        <v>35</v>
      </c>
      <c r="O200" s="6" t="s">
        <v>682</v>
      </c>
      <c r="P200" s="6" t="s">
        <v>52</v>
      </c>
      <c r="Q200" s="6">
        <v>6</v>
      </c>
      <c r="R200" s="21">
        <f t="shared" si="4"/>
        <v>4352000</v>
      </c>
      <c r="S200" s="21">
        <v>0</v>
      </c>
      <c r="T200" s="16">
        <v>0</v>
      </c>
      <c r="U200" s="16">
        <v>0</v>
      </c>
      <c r="V200" s="20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f>12400000-8048000</f>
        <v>4352000</v>
      </c>
      <c r="AE200" s="16">
        <v>0</v>
      </c>
      <c r="AF200" s="16">
        <v>0</v>
      </c>
      <c r="AG200" s="16">
        <v>0</v>
      </c>
    </row>
    <row r="201" spans="1:33" ht="30" customHeight="1" x14ac:dyDescent="0.2">
      <c r="A201" s="6">
        <v>2</v>
      </c>
      <c r="B201" s="6" t="s">
        <v>313</v>
      </c>
      <c r="C201" s="6">
        <v>2</v>
      </c>
      <c r="D201" s="6" t="s">
        <v>333</v>
      </c>
      <c r="E201" s="6" t="s">
        <v>334</v>
      </c>
      <c r="F201" s="6" t="s">
        <v>335</v>
      </c>
      <c r="G201" s="6" t="s">
        <v>143</v>
      </c>
      <c r="H201" s="6" t="s">
        <v>663</v>
      </c>
      <c r="I201" s="7">
        <v>2020051290034</v>
      </c>
      <c r="J201" s="6">
        <v>6</v>
      </c>
      <c r="K201" s="6">
        <v>2216</v>
      </c>
      <c r="L201" s="6" t="s">
        <v>341</v>
      </c>
      <c r="M201" s="6" t="s">
        <v>34</v>
      </c>
      <c r="N201" s="9" t="s">
        <v>35</v>
      </c>
      <c r="O201" s="6" t="s">
        <v>682</v>
      </c>
      <c r="P201" s="6" t="s">
        <v>52</v>
      </c>
      <c r="Q201" s="6">
        <v>1</v>
      </c>
      <c r="R201" s="21">
        <f t="shared" si="4"/>
        <v>36952000</v>
      </c>
      <c r="S201" s="21">
        <v>0</v>
      </c>
      <c r="T201" s="16">
        <v>0</v>
      </c>
      <c r="U201" s="16">
        <v>0</v>
      </c>
      <c r="V201" s="20">
        <v>0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f>45000000-8048000</f>
        <v>36952000</v>
      </c>
      <c r="AE201" s="16">
        <v>0</v>
      </c>
      <c r="AF201" s="16">
        <v>0</v>
      </c>
      <c r="AG201" s="16">
        <v>0</v>
      </c>
    </row>
    <row r="202" spans="1:33" ht="30" customHeight="1" x14ac:dyDescent="0.2">
      <c r="A202" s="6">
        <v>2</v>
      </c>
      <c r="B202" s="6" t="s">
        <v>313</v>
      </c>
      <c r="C202" s="6">
        <v>3</v>
      </c>
      <c r="D202" s="6" t="s">
        <v>342</v>
      </c>
      <c r="E202" s="6" t="s">
        <v>343</v>
      </c>
      <c r="F202" s="6" t="s">
        <v>344</v>
      </c>
      <c r="G202" s="6" t="s">
        <v>345</v>
      </c>
      <c r="H202" s="6" t="s">
        <v>663</v>
      </c>
      <c r="I202" s="7">
        <v>2020051290034</v>
      </c>
      <c r="J202" s="6">
        <v>1</v>
      </c>
      <c r="K202" s="6">
        <v>2311</v>
      </c>
      <c r="L202" s="6" t="s">
        <v>346</v>
      </c>
      <c r="M202" s="6" t="s">
        <v>34</v>
      </c>
      <c r="N202" s="9" t="s">
        <v>35</v>
      </c>
      <c r="O202" s="6" t="s">
        <v>682</v>
      </c>
      <c r="P202" s="6" t="s">
        <v>37</v>
      </c>
      <c r="Q202" s="6">
        <v>16</v>
      </c>
      <c r="R202" s="21">
        <f t="shared" si="4"/>
        <v>61574372.6875</v>
      </c>
      <c r="S202" s="21">
        <v>0</v>
      </c>
      <c r="T202" s="16">
        <v>0</v>
      </c>
      <c r="U202" s="16">
        <v>0</v>
      </c>
      <c r="V202" s="20">
        <v>0</v>
      </c>
      <c r="W202" s="16">
        <f>47120509.6875+14453863</f>
        <v>61574372.6875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</row>
    <row r="203" spans="1:33" ht="45" customHeight="1" x14ac:dyDescent="0.2">
      <c r="A203" s="6">
        <v>2</v>
      </c>
      <c r="B203" s="6" t="s">
        <v>313</v>
      </c>
      <c r="C203" s="6">
        <v>3</v>
      </c>
      <c r="D203" s="6" t="s">
        <v>342</v>
      </c>
      <c r="E203" s="6" t="s">
        <v>343</v>
      </c>
      <c r="F203" s="6" t="s">
        <v>344</v>
      </c>
      <c r="G203" s="6" t="s">
        <v>345</v>
      </c>
      <c r="H203" s="6" t="s">
        <v>663</v>
      </c>
      <c r="I203" s="7">
        <v>2020051290034</v>
      </c>
      <c r="J203" s="6">
        <v>2</v>
      </c>
      <c r="K203" s="6">
        <v>2312</v>
      </c>
      <c r="L203" s="6" t="s">
        <v>347</v>
      </c>
      <c r="M203" s="6" t="s">
        <v>34</v>
      </c>
      <c r="N203" s="9" t="s">
        <v>35</v>
      </c>
      <c r="O203" s="6" t="s">
        <v>682</v>
      </c>
      <c r="P203" s="6" t="s">
        <v>37</v>
      </c>
      <c r="Q203" s="6">
        <v>1</v>
      </c>
      <c r="R203" s="21">
        <f t="shared" si="4"/>
        <v>59453863</v>
      </c>
      <c r="S203" s="21">
        <v>0</v>
      </c>
      <c r="T203" s="16">
        <v>0</v>
      </c>
      <c r="U203" s="16">
        <v>0</v>
      </c>
      <c r="V203" s="20">
        <v>0</v>
      </c>
      <c r="W203" s="16">
        <f>45000000+14453863</f>
        <v>59453863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</row>
    <row r="204" spans="1:33" ht="60" customHeight="1" x14ac:dyDescent="0.2">
      <c r="A204" s="6">
        <v>2</v>
      </c>
      <c r="B204" s="6" t="s">
        <v>313</v>
      </c>
      <c r="C204" s="6">
        <v>3</v>
      </c>
      <c r="D204" s="6" t="s">
        <v>342</v>
      </c>
      <c r="E204" s="6" t="s">
        <v>343</v>
      </c>
      <c r="F204" s="6" t="s">
        <v>344</v>
      </c>
      <c r="G204" s="6" t="s">
        <v>345</v>
      </c>
      <c r="H204" s="6" t="s">
        <v>663</v>
      </c>
      <c r="I204" s="7">
        <v>2020051290034</v>
      </c>
      <c r="J204" s="6">
        <v>4</v>
      </c>
      <c r="K204" s="6">
        <v>2314</v>
      </c>
      <c r="L204" s="28" t="s">
        <v>348</v>
      </c>
      <c r="M204" s="6" t="s">
        <v>34</v>
      </c>
      <c r="N204" s="9" t="s">
        <v>35</v>
      </c>
      <c r="O204" s="6" t="s">
        <v>682</v>
      </c>
      <c r="P204" s="6" t="s">
        <v>37</v>
      </c>
      <c r="Q204" s="6">
        <v>1</v>
      </c>
      <c r="R204" s="21">
        <f t="shared" si="4"/>
        <v>30453863</v>
      </c>
      <c r="S204" s="21">
        <v>0</v>
      </c>
      <c r="T204" s="16">
        <v>0</v>
      </c>
      <c r="U204" s="16">
        <v>0</v>
      </c>
      <c r="V204" s="20">
        <v>0</v>
      </c>
      <c r="W204" s="16">
        <f>16000000+14453863</f>
        <v>30453863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</row>
    <row r="205" spans="1:33" ht="60" customHeight="1" x14ac:dyDescent="0.2">
      <c r="A205" s="6">
        <v>2</v>
      </c>
      <c r="B205" s="6" t="s">
        <v>313</v>
      </c>
      <c r="C205" s="6">
        <v>3</v>
      </c>
      <c r="D205" s="6" t="s">
        <v>342</v>
      </c>
      <c r="E205" s="6" t="s">
        <v>343</v>
      </c>
      <c r="F205" s="6" t="s">
        <v>344</v>
      </c>
      <c r="G205" s="6" t="s">
        <v>345</v>
      </c>
      <c r="H205" s="6" t="s">
        <v>663</v>
      </c>
      <c r="I205" s="7">
        <v>2020051290034</v>
      </c>
      <c r="J205" s="6">
        <v>5</v>
      </c>
      <c r="K205" s="6">
        <v>2315</v>
      </c>
      <c r="L205" s="6" t="s">
        <v>349</v>
      </c>
      <c r="M205" s="6" t="s">
        <v>34</v>
      </c>
      <c r="N205" s="9" t="s">
        <v>35</v>
      </c>
      <c r="O205" s="6" t="s">
        <v>682</v>
      </c>
      <c r="P205" s="6" t="s">
        <v>37</v>
      </c>
      <c r="Q205" s="6">
        <v>3</v>
      </c>
      <c r="R205" s="21">
        <f t="shared" si="4"/>
        <v>29453863</v>
      </c>
      <c r="S205" s="21">
        <v>0</v>
      </c>
      <c r="T205" s="16">
        <v>0</v>
      </c>
      <c r="U205" s="16">
        <v>0</v>
      </c>
      <c r="V205" s="20">
        <v>0</v>
      </c>
      <c r="W205" s="16">
        <f>15000000+14453863</f>
        <v>29453863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</row>
    <row r="206" spans="1:33" s="34" customFormat="1" ht="60" customHeight="1" x14ac:dyDescent="0.2">
      <c r="A206" s="28">
        <v>2</v>
      </c>
      <c r="B206" s="28" t="s">
        <v>313</v>
      </c>
      <c r="C206" s="28">
        <v>3</v>
      </c>
      <c r="D206" s="28" t="s">
        <v>342</v>
      </c>
      <c r="E206" s="28" t="s">
        <v>343</v>
      </c>
      <c r="F206" s="28" t="s">
        <v>350</v>
      </c>
      <c r="G206" s="28" t="s">
        <v>351</v>
      </c>
      <c r="H206" s="28" t="s">
        <v>352</v>
      </c>
      <c r="I206" s="30">
        <v>2020051290049</v>
      </c>
      <c r="J206" s="28">
        <v>1</v>
      </c>
      <c r="K206" s="28">
        <v>2321</v>
      </c>
      <c r="L206" s="28" t="s">
        <v>353</v>
      </c>
      <c r="M206" s="28" t="s">
        <v>34</v>
      </c>
      <c r="N206" s="31" t="s">
        <v>35</v>
      </c>
      <c r="O206" s="6" t="s">
        <v>682</v>
      </c>
      <c r="P206" s="28" t="s">
        <v>37</v>
      </c>
      <c r="Q206" s="28">
        <v>10</v>
      </c>
      <c r="R206" s="21">
        <f t="shared" si="4"/>
        <v>66205863</v>
      </c>
      <c r="S206" s="21">
        <v>0</v>
      </c>
      <c r="T206" s="33">
        <v>0</v>
      </c>
      <c r="U206" s="33">
        <v>0</v>
      </c>
      <c r="V206" s="32">
        <v>0</v>
      </c>
      <c r="W206" s="33">
        <f>51752000+14453863</f>
        <v>66205863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</row>
    <row r="207" spans="1:33" ht="60" customHeight="1" x14ac:dyDescent="0.2">
      <c r="A207" s="6">
        <v>2</v>
      </c>
      <c r="B207" s="6" t="s">
        <v>313</v>
      </c>
      <c r="C207" s="6">
        <v>3</v>
      </c>
      <c r="D207" s="6" t="s">
        <v>342</v>
      </c>
      <c r="E207" s="6" t="s">
        <v>343</v>
      </c>
      <c r="F207" s="6" t="s">
        <v>350</v>
      </c>
      <c r="G207" s="6" t="s">
        <v>351</v>
      </c>
      <c r="H207" s="6" t="s">
        <v>352</v>
      </c>
      <c r="I207" s="7">
        <v>2020051290049</v>
      </c>
      <c r="J207" s="6">
        <v>2</v>
      </c>
      <c r="K207" s="6">
        <v>2322</v>
      </c>
      <c r="L207" s="6" t="s">
        <v>354</v>
      </c>
      <c r="M207" s="6" t="s">
        <v>34</v>
      </c>
      <c r="N207" s="9" t="s">
        <v>35</v>
      </c>
      <c r="O207" s="6" t="s">
        <v>682</v>
      </c>
      <c r="P207" s="6" t="s">
        <v>37</v>
      </c>
      <c r="Q207" s="6">
        <v>1</v>
      </c>
      <c r="R207" s="21">
        <f t="shared" si="4"/>
        <v>53637263</v>
      </c>
      <c r="S207" s="21">
        <v>0</v>
      </c>
      <c r="T207" s="16">
        <v>0</v>
      </c>
      <c r="U207" s="16">
        <v>0</v>
      </c>
      <c r="V207" s="20">
        <v>0</v>
      </c>
      <c r="W207" s="16">
        <f>39183400+14453863</f>
        <v>53637263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</row>
    <row r="208" spans="1:33" ht="30" customHeight="1" x14ac:dyDescent="0.2">
      <c r="A208" s="6">
        <v>2</v>
      </c>
      <c r="B208" s="6" t="s">
        <v>313</v>
      </c>
      <c r="C208" s="6">
        <v>3</v>
      </c>
      <c r="D208" s="6" t="s">
        <v>342</v>
      </c>
      <c r="E208" s="6" t="s">
        <v>343</v>
      </c>
      <c r="F208" s="6" t="s">
        <v>350</v>
      </c>
      <c r="G208" s="6" t="s">
        <v>351</v>
      </c>
      <c r="H208" s="6" t="s">
        <v>352</v>
      </c>
      <c r="I208" s="7">
        <v>2020051290049</v>
      </c>
      <c r="J208" s="6">
        <v>3</v>
      </c>
      <c r="K208" s="6">
        <v>2323</v>
      </c>
      <c r="L208" s="6" t="s">
        <v>355</v>
      </c>
      <c r="M208" s="6" t="s">
        <v>34</v>
      </c>
      <c r="N208" s="9" t="s">
        <v>179</v>
      </c>
      <c r="O208" s="6" t="s">
        <v>682</v>
      </c>
      <c r="P208" s="6" t="s">
        <v>37</v>
      </c>
      <c r="Q208" s="6">
        <v>2</v>
      </c>
      <c r="R208" s="21">
        <f t="shared" si="4"/>
        <v>41857263</v>
      </c>
      <c r="S208" s="21">
        <v>0</v>
      </c>
      <c r="T208" s="16">
        <v>0</v>
      </c>
      <c r="U208" s="16">
        <v>0</v>
      </c>
      <c r="V208" s="20">
        <v>0</v>
      </c>
      <c r="W208" s="16">
        <f>27403400+14453863</f>
        <v>41857263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</row>
    <row r="209" spans="1:33" ht="30" customHeight="1" x14ac:dyDescent="0.2">
      <c r="A209" s="6">
        <v>2</v>
      </c>
      <c r="B209" s="6" t="s">
        <v>313</v>
      </c>
      <c r="C209" s="6">
        <v>3</v>
      </c>
      <c r="D209" s="6" t="s">
        <v>342</v>
      </c>
      <c r="E209" s="6" t="s">
        <v>343</v>
      </c>
      <c r="F209" s="6" t="s">
        <v>350</v>
      </c>
      <c r="G209" s="6" t="s">
        <v>351</v>
      </c>
      <c r="H209" s="6" t="s">
        <v>352</v>
      </c>
      <c r="I209" s="7">
        <v>2020051290049</v>
      </c>
      <c r="J209" s="6">
        <v>4</v>
      </c>
      <c r="K209" s="6">
        <v>2324</v>
      </c>
      <c r="L209" s="6" t="s">
        <v>356</v>
      </c>
      <c r="M209" s="6" t="s">
        <v>34</v>
      </c>
      <c r="N209" s="9" t="s">
        <v>35</v>
      </c>
      <c r="O209" s="6" t="s">
        <v>682</v>
      </c>
      <c r="P209" s="6" t="s">
        <v>37</v>
      </c>
      <c r="Q209" s="6">
        <v>4</v>
      </c>
      <c r="R209" s="21">
        <f t="shared" si="4"/>
        <v>56953863</v>
      </c>
      <c r="S209" s="21">
        <v>0</v>
      </c>
      <c r="T209" s="16">
        <v>0</v>
      </c>
      <c r="U209" s="16">
        <v>0</v>
      </c>
      <c r="V209" s="20">
        <v>0</v>
      </c>
      <c r="W209" s="16">
        <f>42500000+14453863</f>
        <v>56953863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</row>
    <row r="210" spans="1:33" ht="45.75" customHeight="1" x14ac:dyDescent="0.2">
      <c r="A210" s="6">
        <v>2</v>
      </c>
      <c r="B210" s="6" t="s">
        <v>313</v>
      </c>
      <c r="C210" s="6">
        <v>3</v>
      </c>
      <c r="D210" s="6" t="s">
        <v>342</v>
      </c>
      <c r="E210" s="11" t="s">
        <v>343</v>
      </c>
      <c r="F210" s="6" t="s">
        <v>344</v>
      </c>
      <c r="G210" s="6" t="s">
        <v>345</v>
      </c>
      <c r="H210" s="6" t="s">
        <v>666</v>
      </c>
      <c r="I210" s="7">
        <v>2020051290015</v>
      </c>
      <c r="J210" s="6">
        <v>3</v>
      </c>
      <c r="K210" s="6">
        <v>2313</v>
      </c>
      <c r="L210" s="6" t="s">
        <v>357</v>
      </c>
      <c r="M210" s="6" t="s">
        <v>34</v>
      </c>
      <c r="N210" s="9" t="s">
        <v>35</v>
      </c>
      <c r="O210" s="6" t="s">
        <v>204</v>
      </c>
      <c r="P210" s="6" t="s">
        <v>37</v>
      </c>
      <c r="Q210" s="6">
        <v>1</v>
      </c>
      <c r="R210" s="21">
        <f t="shared" si="4"/>
        <v>248461155</v>
      </c>
      <c r="S210" s="21">
        <v>0</v>
      </c>
      <c r="T210" s="20">
        <v>0</v>
      </c>
      <c r="U210" s="20"/>
      <c r="V210" s="20"/>
      <c r="W210" s="20">
        <f>44055538+164840464+39565153</f>
        <v>248461155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</row>
    <row r="211" spans="1:33" ht="45.75" customHeight="1" x14ac:dyDescent="0.2">
      <c r="A211" s="6">
        <v>2</v>
      </c>
      <c r="B211" s="6" t="s">
        <v>313</v>
      </c>
      <c r="C211" s="6">
        <v>3</v>
      </c>
      <c r="D211" s="6" t="s">
        <v>342</v>
      </c>
      <c r="E211" s="11" t="s">
        <v>343</v>
      </c>
      <c r="F211" s="6" t="s">
        <v>344</v>
      </c>
      <c r="G211" s="6" t="s">
        <v>345</v>
      </c>
      <c r="H211" s="6" t="s">
        <v>666</v>
      </c>
      <c r="I211" s="7">
        <v>2020051290015</v>
      </c>
      <c r="J211" s="6">
        <v>3</v>
      </c>
      <c r="K211" s="6">
        <v>2313</v>
      </c>
      <c r="L211" s="6" t="s">
        <v>357</v>
      </c>
      <c r="M211" s="6" t="s">
        <v>34</v>
      </c>
      <c r="N211" s="9" t="s">
        <v>35</v>
      </c>
      <c r="O211" s="6" t="s">
        <v>204</v>
      </c>
      <c r="P211" s="6" t="s">
        <v>37</v>
      </c>
      <c r="Q211" s="6">
        <v>1</v>
      </c>
      <c r="R211" s="21">
        <f t="shared" si="4"/>
        <v>116882227.25</v>
      </c>
      <c r="S211" s="21">
        <v>0</v>
      </c>
      <c r="T211" s="20">
        <v>0</v>
      </c>
      <c r="U211" s="20"/>
      <c r="V211" s="20"/>
      <c r="W211" s="20">
        <f>44055538+33261536.25+39565153</f>
        <v>116882227.25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</row>
    <row r="212" spans="1:33" ht="30" customHeight="1" x14ac:dyDescent="0.2">
      <c r="A212" s="6">
        <v>2</v>
      </c>
      <c r="B212" s="6" t="s">
        <v>313</v>
      </c>
      <c r="C212" s="6">
        <v>4</v>
      </c>
      <c r="D212" s="6" t="s">
        <v>358</v>
      </c>
      <c r="E212" s="6" t="s">
        <v>359</v>
      </c>
      <c r="F212" s="6" t="s">
        <v>360</v>
      </c>
      <c r="G212" s="6" t="s">
        <v>361</v>
      </c>
      <c r="H212" s="6" t="s">
        <v>362</v>
      </c>
      <c r="I212" s="7">
        <v>2020051290044</v>
      </c>
      <c r="J212" s="6">
        <v>1</v>
      </c>
      <c r="K212" s="6">
        <v>2411</v>
      </c>
      <c r="L212" s="6" t="s">
        <v>363</v>
      </c>
      <c r="M212" s="6" t="s">
        <v>34</v>
      </c>
      <c r="N212" s="9" t="s">
        <v>35</v>
      </c>
      <c r="O212" s="6" t="s">
        <v>682</v>
      </c>
      <c r="P212" s="6" t="s">
        <v>37</v>
      </c>
      <c r="Q212" s="6">
        <v>10</v>
      </c>
      <c r="R212" s="21">
        <f t="shared" si="4"/>
        <v>36628220</v>
      </c>
      <c r="S212" s="21">
        <v>0</v>
      </c>
      <c r="T212" s="16">
        <v>0</v>
      </c>
      <c r="U212" s="16">
        <v>0</v>
      </c>
      <c r="V212" s="20">
        <v>0</v>
      </c>
      <c r="W212" s="16">
        <f>22174357+14453863</f>
        <v>36628220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</row>
    <row r="213" spans="1:33" ht="30" customHeight="1" x14ac:dyDescent="0.2">
      <c r="A213" s="6">
        <v>2</v>
      </c>
      <c r="B213" s="6" t="s">
        <v>313</v>
      </c>
      <c r="C213" s="6">
        <v>4</v>
      </c>
      <c r="D213" s="6" t="s">
        <v>358</v>
      </c>
      <c r="E213" s="6" t="s">
        <v>359</v>
      </c>
      <c r="F213" s="6" t="s">
        <v>360</v>
      </c>
      <c r="G213" s="6" t="s">
        <v>361</v>
      </c>
      <c r="H213" s="6" t="s">
        <v>362</v>
      </c>
      <c r="I213" s="7">
        <v>2020051290044</v>
      </c>
      <c r="J213" s="6">
        <v>2</v>
      </c>
      <c r="K213" s="6">
        <v>2412</v>
      </c>
      <c r="L213" s="6" t="s">
        <v>364</v>
      </c>
      <c r="M213" s="6" t="s">
        <v>34</v>
      </c>
      <c r="N213" s="9" t="s">
        <v>35</v>
      </c>
      <c r="O213" s="6" t="s">
        <v>682</v>
      </c>
      <c r="P213" s="6" t="s">
        <v>37</v>
      </c>
      <c r="Q213" s="6">
        <v>19</v>
      </c>
      <c r="R213" s="21">
        <f t="shared" si="4"/>
        <v>34653863</v>
      </c>
      <c r="S213" s="21">
        <v>0</v>
      </c>
      <c r="T213" s="16">
        <v>0</v>
      </c>
      <c r="U213" s="16">
        <v>0</v>
      </c>
      <c r="V213" s="20">
        <v>0</v>
      </c>
      <c r="W213" s="16">
        <f>20200000+14453863</f>
        <v>34653863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4" spans="1:33" ht="30" customHeight="1" x14ac:dyDescent="0.2">
      <c r="A214" s="6">
        <v>2</v>
      </c>
      <c r="B214" s="6" t="s">
        <v>313</v>
      </c>
      <c r="C214" s="6">
        <v>4</v>
      </c>
      <c r="D214" s="6" t="s">
        <v>358</v>
      </c>
      <c r="E214" s="6" t="s">
        <v>359</v>
      </c>
      <c r="F214" s="6" t="s">
        <v>360</v>
      </c>
      <c r="G214" s="6" t="s">
        <v>361</v>
      </c>
      <c r="H214" s="6" t="s">
        <v>362</v>
      </c>
      <c r="I214" s="7">
        <v>2020051290044</v>
      </c>
      <c r="J214" s="6">
        <v>3</v>
      </c>
      <c r="K214" s="6">
        <v>2413</v>
      </c>
      <c r="L214" s="6" t="s">
        <v>365</v>
      </c>
      <c r="M214" s="6" t="s">
        <v>78</v>
      </c>
      <c r="N214" s="9" t="s">
        <v>60</v>
      </c>
      <c r="O214" s="6" t="s">
        <v>682</v>
      </c>
      <c r="P214" s="6" t="s">
        <v>37</v>
      </c>
      <c r="Q214" s="9">
        <v>1</v>
      </c>
      <c r="R214" s="21">
        <f t="shared" si="4"/>
        <v>46387577</v>
      </c>
      <c r="S214" s="21">
        <v>0</v>
      </c>
      <c r="T214" s="16">
        <v>0</v>
      </c>
      <c r="U214" s="16">
        <v>0</v>
      </c>
      <c r="V214" s="20">
        <v>0</v>
      </c>
      <c r="W214" s="16">
        <f>31933714+14453863</f>
        <v>46387577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</row>
    <row r="215" spans="1:33" ht="30" customHeight="1" x14ac:dyDescent="0.2">
      <c r="A215" s="6">
        <v>2</v>
      </c>
      <c r="B215" s="6" t="s">
        <v>313</v>
      </c>
      <c r="C215" s="6">
        <v>4</v>
      </c>
      <c r="D215" s="6" t="s">
        <v>358</v>
      </c>
      <c r="E215" s="6" t="s">
        <v>359</v>
      </c>
      <c r="F215" s="6" t="s">
        <v>360</v>
      </c>
      <c r="G215" s="6" t="s">
        <v>361</v>
      </c>
      <c r="H215" s="6" t="s">
        <v>362</v>
      </c>
      <c r="I215" s="7">
        <v>2020051290044</v>
      </c>
      <c r="J215" s="6">
        <v>4</v>
      </c>
      <c r="K215" s="6">
        <v>2414</v>
      </c>
      <c r="L215" s="6" t="s">
        <v>366</v>
      </c>
      <c r="M215" s="6" t="s">
        <v>34</v>
      </c>
      <c r="N215" s="9" t="s">
        <v>179</v>
      </c>
      <c r="O215" s="6" t="s">
        <v>74</v>
      </c>
      <c r="P215" s="6" t="s">
        <v>367</v>
      </c>
      <c r="Q215" s="6">
        <v>2269</v>
      </c>
      <c r="R215" s="21">
        <f>SUM(S215:AG215)</f>
        <v>172141000</v>
      </c>
      <c r="S215" s="21">
        <v>0</v>
      </c>
      <c r="T215" s="16">
        <v>0</v>
      </c>
      <c r="U215" s="16">
        <v>0</v>
      </c>
      <c r="V215" s="20">
        <v>0</v>
      </c>
      <c r="W215" s="16">
        <v>0</v>
      </c>
      <c r="X215" s="16">
        <v>172141000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6">
        <v>0</v>
      </c>
    </row>
    <row r="216" spans="1:33" ht="30" customHeight="1" x14ac:dyDescent="0.2">
      <c r="A216" s="6">
        <v>2</v>
      </c>
      <c r="B216" s="6" t="s">
        <v>313</v>
      </c>
      <c r="C216" s="6">
        <v>4</v>
      </c>
      <c r="D216" s="6" t="s">
        <v>358</v>
      </c>
      <c r="E216" s="6" t="s">
        <v>359</v>
      </c>
      <c r="F216" s="6" t="s">
        <v>360</v>
      </c>
      <c r="G216" s="6" t="s">
        <v>361</v>
      </c>
      <c r="H216" s="6" t="s">
        <v>362</v>
      </c>
      <c r="I216" s="7">
        <v>2020051290044</v>
      </c>
      <c r="J216" s="6">
        <v>5</v>
      </c>
      <c r="K216" s="6">
        <v>2415</v>
      </c>
      <c r="L216" s="6" t="s">
        <v>368</v>
      </c>
      <c r="M216" s="6" t="s">
        <v>34</v>
      </c>
      <c r="N216" s="9" t="s">
        <v>179</v>
      </c>
      <c r="O216" s="6" t="s">
        <v>74</v>
      </c>
      <c r="P216" s="6" t="s">
        <v>37</v>
      </c>
      <c r="Q216" s="6">
        <v>2110</v>
      </c>
      <c r="R216" s="44">
        <f>W216</f>
        <v>260904012</v>
      </c>
      <c r="S216" s="21">
        <v>0</v>
      </c>
      <c r="T216" s="16">
        <f ca="1">+T216:BZT242</f>
        <v>0</v>
      </c>
      <c r="U216" s="16">
        <f ca="1">+U216:BZU242</f>
        <v>0</v>
      </c>
      <c r="V216" s="20">
        <v>0</v>
      </c>
      <c r="W216" s="16">
        <f>249681359+11222653</f>
        <v>260904012</v>
      </c>
      <c r="X216" s="17">
        <v>0</v>
      </c>
      <c r="Y216" s="17">
        <v>0</v>
      </c>
      <c r="Z216" s="17">
        <v>0</v>
      </c>
      <c r="AA216" s="17">
        <v>0</v>
      </c>
      <c r="AB216" s="17">
        <v>0</v>
      </c>
      <c r="AC216" s="17">
        <v>0</v>
      </c>
      <c r="AD216" s="17">
        <v>0</v>
      </c>
      <c r="AE216" s="17">
        <v>0</v>
      </c>
      <c r="AF216" s="16">
        <v>0</v>
      </c>
      <c r="AG216" s="16">
        <v>0</v>
      </c>
    </row>
    <row r="217" spans="1:33" ht="30" customHeight="1" x14ac:dyDescent="0.2">
      <c r="A217" s="6">
        <v>2</v>
      </c>
      <c r="B217" s="6" t="s">
        <v>313</v>
      </c>
      <c r="C217" s="6">
        <v>4</v>
      </c>
      <c r="D217" s="6" t="s">
        <v>358</v>
      </c>
      <c r="E217" s="6" t="s">
        <v>359</v>
      </c>
      <c r="F217" s="6" t="s">
        <v>360</v>
      </c>
      <c r="G217" s="6" t="s">
        <v>361</v>
      </c>
      <c r="H217" s="6" t="s">
        <v>362</v>
      </c>
      <c r="I217" s="7">
        <v>2020051290044</v>
      </c>
      <c r="J217" s="6">
        <v>6</v>
      </c>
      <c r="K217" s="6">
        <v>2416</v>
      </c>
      <c r="L217" s="6" t="s">
        <v>369</v>
      </c>
      <c r="M217" s="6" t="s">
        <v>34</v>
      </c>
      <c r="N217" s="9" t="s">
        <v>179</v>
      </c>
      <c r="O217" s="6" t="s">
        <v>74</v>
      </c>
      <c r="P217" s="6" t="s">
        <v>37</v>
      </c>
      <c r="Q217" s="6">
        <v>367</v>
      </c>
      <c r="R217" s="21">
        <f>SUM(S217:AG217)</f>
        <v>184893875</v>
      </c>
      <c r="S217" s="21">
        <v>0</v>
      </c>
      <c r="T217" s="16">
        <v>0</v>
      </c>
      <c r="U217" s="16">
        <v>0</v>
      </c>
      <c r="V217" s="20">
        <v>0</v>
      </c>
      <c r="W217" s="16">
        <f>173671200+11222653+22</f>
        <v>184893875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</row>
    <row r="218" spans="1:33" ht="30" customHeight="1" x14ac:dyDescent="0.2">
      <c r="A218" s="6">
        <v>2</v>
      </c>
      <c r="B218" s="6" t="s">
        <v>313</v>
      </c>
      <c r="C218" s="6">
        <v>4</v>
      </c>
      <c r="D218" s="6" t="s">
        <v>358</v>
      </c>
      <c r="E218" s="6" t="s">
        <v>359</v>
      </c>
      <c r="F218" s="6" t="s">
        <v>360</v>
      </c>
      <c r="G218" s="6" t="s">
        <v>361</v>
      </c>
      <c r="H218" s="6" t="s">
        <v>362</v>
      </c>
      <c r="I218" s="7">
        <v>2020051290044</v>
      </c>
      <c r="J218" s="6">
        <v>7</v>
      </c>
      <c r="K218" s="6">
        <v>2417</v>
      </c>
      <c r="L218" s="6" t="s">
        <v>370</v>
      </c>
      <c r="M218" s="6" t="s">
        <v>34</v>
      </c>
      <c r="N218" s="9" t="s">
        <v>35</v>
      </c>
      <c r="O218" s="6" t="s">
        <v>65</v>
      </c>
      <c r="P218" s="6" t="s">
        <v>37</v>
      </c>
      <c r="Q218" s="6">
        <v>1</v>
      </c>
      <c r="R218" s="21">
        <f t="shared" si="4"/>
        <v>5543645</v>
      </c>
      <c r="S218" s="21">
        <v>0</v>
      </c>
      <c r="T218" s="16">
        <v>0</v>
      </c>
      <c r="U218" s="16">
        <v>0</v>
      </c>
      <c r="V218" s="20">
        <v>0</v>
      </c>
      <c r="W218" s="16">
        <v>5543645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</row>
    <row r="219" spans="1:33" ht="30" customHeight="1" x14ac:dyDescent="0.2">
      <c r="A219" s="6">
        <v>2</v>
      </c>
      <c r="B219" s="6" t="s">
        <v>313</v>
      </c>
      <c r="C219" s="6">
        <v>4</v>
      </c>
      <c r="D219" s="6" t="s">
        <v>358</v>
      </c>
      <c r="E219" s="6" t="s">
        <v>359</v>
      </c>
      <c r="F219" s="6" t="s">
        <v>360</v>
      </c>
      <c r="G219" s="6" t="s">
        <v>361</v>
      </c>
      <c r="H219" s="6" t="s">
        <v>362</v>
      </c>
      <c r="I219" s="7">
        <v>2020051290044</v>
      </c>
      <c r="J219" s="6">
        <v>8</v>
      </c>
      <c r="K219" s="6">
        <v>2418</v>
      </c>
      <c r="L219" s="6" t="s">
        <v>371</v>
      </c>
      <c r="M219" s="6" t="s">
        <v>34</v>
      </c>
      <c r="N219" s="9" t="s">
        <v>35</v>
      </c>
      <c r="O219" s="6" t="s">
        <v>65</v>
      </c>
      <c r="P219" s="6" t="s">
        <v>37</v>
      </c>
      <c r="Q219" s="6">
        <v>5</v>
      </c>
      <c r="R219" s="21">
        <f t="shared" si="4"/>
        <v>15071368</v>
      </c>
      <c r="S219" s="21">
        <v>0</v>
      </c>
      <c r="T219" s="16">
        <v>0</v>
      </c>
      <c r="U219" s="16">
        <v>0</v>
      </c>
      <c r="V219" s="20">
        <v>0</v>
      </c>
      <c r="W219" s="16">
        <v>15071368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  <c r="AF219" s="16">
        <v>0</v>
      </c>
      <c r="AG219" s="16">
        <v>0</v>
      </c>
    </row>
    <row r="220" spans="1:33" ht="30" customHeight="1" x14ac:dyDescent="0.2">
      <c r="A220" s="6">
        <v>2</v>
      </c>
      <c r="B220" s="6" t="s">
        <v>313</v>
      </c>
      <c r="C220" s="6">
        <v>4</v>
      </c>
      <c r="D220" s="6" t="s">
        <v>358</v>
      </c>
      <c r="E220" s="6" t="s">
        <v>359</v>
      </c>
      <c r="F220" s="6" t="s">
        <v>360</v>
      </c>
      <c r="G220" s="6" t="s">
        <v>361</v>
      </c>
      <c r="H220" s="6" t="s">
        <v>362</v>
      </c>
      <c r="I220" s="7">
        <v>2020051290044</v>
      </c>
      <c r="J220" s="6">
        <v>8</v>
      </c>
      <c r="K220" s="6">
        <v>2418</v>
      </c>
      <c r="L220" s="6" t="s">
        <v>371</v>
      </c>
      <c r="M220" s="6" t="s">
        <v>34</v>
      </c>
      <c r="N220" s="9" t="s">
        <v>35</v>
      </c>
      <c r="O220" s="6" t="s">
        <v>65</v>
      </c>
      <c r="P220" s="6" t="s">
        <v>52</v>
      </c>
      <c r="Q220" s="6">
        <v>5</v>
      </c>
      <c r="R220" s="21">
        <f t="shared" si="4"/>
        <v>23328921</v>
      </c>
      <c r="S220" s="21">
        <v>0</v>
      </c>
      <c r="T220" s="16">
        <v>0</v>
      </c>
      <c r="U220" s="16">
        <v>0</v>
      </c>
      <c r="V220" s="20">
        <v>0</v>
      </c>
      <c r="W220" s="17">
        <v>0</v>
      </c>
      <c r="X220" s="17">
        <v>0</v>
      </c>
      <c r="Y220" s="17">
        <v>0</v>
      </c>
      <c r="Z220" s="17">
        <v>0</v>
      </c>
      <c r="AA220" s="17">
        <v>0</v>
      </c>
      <c r="AB220" s="17">
        <v>0</v>
      </c>
      <c r="AC220" s="17">
        <v>0</v>
      </c>
      <c r="AD220" s="16">
        <v>23328921</v>
      </c>
      <c r="AE220" s="17">
        <v>0</v>
      </c>
      <c r="AF220" s="16">
        <v>0</v>
      </c>
      <c r="AG220" s="16">
        <v>0</v>
      </c>
    </row>
    <row r="221" spans="1:33" ht="30" customHeight="1" x14ac:dyDescent="0.2">
      <c r="A221" s="6">
        <v>2</v>
      </c>
      <c r="B221" s="6" t="s">
        <v>313</v>
      </c>
      <c r="C221" s="6">
        <v>4</v>
      </c>
      <c r="D221" s="6" t="s">
        <v>358</v>
      </c>
      <c r="E221" s="6" t="s">
        <v>359</v>
      </c>
      <c r="F221" s="6" t="s">
        <v>360</v>
      </c>
      <c r="G221" s="6" t="s">
        <v>361</v>
      </c>
      <c r="H221" s="6" t="s">
        <v>362</v>
      </c>
      <c r="I221" s="7">
        <v>2020051290044</v>
      </c>
      <c r="J221" s="6">
        <v>9</v>
      </c>
      <c r="K221" s="6">
        <v>2419</v>
      </c>
      <c r="L221" s="6" t="s">
        <v>372</v>
      </c>
      <c r="M221" s="6" t="s">
        <v>34</v>
      </c>
      <c r="N221" s="9" t="s">
        <v>35</v>
      </c>
      <c r="O221" s="6" t="s">
        <v>65</v>
      </c>
      <c r="P221" s="6" t="s">
        <v>37</v>
      </c>
      <c r="Q221" s="6">
        <v>384</v>
      </c>
      <c r="R221" s="21">
        <f t="shared" si="4"/>
        <v>54282827</v>
      </c>
      <c r="S221" s="21">
        <v>0</v>
      </c>
      <c r="T221" s="16">
        <v>0</v>
      </c>
      <c r="U221" s="16">
        <v>0</v>
      </c>
      <c r="V221" s="20">
        <v>0</v>
      </c>
      <c r="W221" s="16">
        <v>54282827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20">
        <v>0</v>
      </c>
      <c r="AE221" s="16">
        <v>0</v>
      </c>
      <c r="AF221" s="16">
        <v>0</v>
      </c>
      <c r="AG221" s="16">
        <v>0</v>
      </c>
    </row>
    <row r="222" spans="1:33" ht="30" customHeight="1" x14ac:dyDescent="0.2">
      <c r="A222" s="6">
        <v>2</v>
      </c>
      <c r="B222" s="6" t="s">
        <v>313</v>
      </c>
      <c r="C222" s="6">
        <v>4</v>
      </c>
      <c r="D222" s="6" t="s">
        <v>358</v>
      </c>
      <c r="E222" s="6" t="s">
        <v>359</v>
      </c>
      <c r="F222" s="6" t="s">
        <v>360</v>
      </c>
      <c r="G222" s="6" t="s">
        <v>361</v>
      </c>
      <c r="H222" s="6" t="s">
        <v>362</v>
      </c>
      <c r="I222" s="7">
        <v>2020051290044</v>
      </c>
      <c r="J222" s="6">
        <v>9</v>
      </c>
      <c r="K222" s="6">
        <v>2419</v>
      </c>
      <c r="L222" s="6" t="s">
        <v>372</v>
      </c>
      <c r="M222" s="6" t="s">
        <v>34</v>
      </c>
      <c r="N222" s="9" t="s">
        <v>35</v>
      </c>
      <c r="O222" s="6" t="s">
        <v>65</v>
      </c>
      <c r="P222" s="6" t="s">
        <v>52</v>
      </c>
      <c r="Q222" s="6">
        <v>384</v>
      </c>
      <c r="R222" s="21">
        <f t="shared" si="4"/>
        <v>43637173</v>
      </c>
      <c r="S222" s="21">
        <v>0</v>
      </c>
      <c r="T222" s="16">
        <v>0</v>
      </c>
      <c r="U222" s="16">
        <v>0</v>
      </c>
      <c r="V222" s="20">
        <v>0</v>
      </c>
      <c r="W222" s="17">
        <v>0</v>
      </c>
      <c r="X222" s="17">
        <v>0</v>
      </c>
      <c r="Y222" s="17">
        <v>0</v>
      </c>
      <c r="Z222" s="17">
        <v>0</v>
      </c>
      <c r="AA222" s="17">
        <v>0</v>
      </c>
      <c r="AB222" s="17">
        <v>0</v>
      </c>
      <c r="AC222" s="17">
        <v>0</v>
      </c>
      <c r="AD222" s="16">
        <v>43637173</v>
      </c>
      <c r="AE222" s="17">
        <v>0</v>
      </c>
      <c r="AF222" s="16">
        <v>0</v>
      </c>
      <c r="AG222" s="16">
        <v>0</v>
      </c>
    </row>
    <row r="223" spans="1:33" ht="30" customHeight="1" x14ac:dyDescent="0.2">
      <c r="A223" s="6">
        <v>2</v>
      </c>
      <c r="B223" s="6" t="s">
        <v>313</v>
      </c>
      <c r="C223" s="6">
        <v>4</v>
      </c>
      <c r="D223" s="6" t="s">
        <v>358</v>
      </c>
      <c r="E223" s="6" t="s">
        <v>359</v>
      </c>
      <c r="F223" s="6" t="s">
        <v>360</v>
      </c>
      <c r="G223" s="6" t="s">
        <v>361</v>
      </c>
      <c r="H223" s="6" t="s">
        <v>362</v>
      </c>
      <c r="I223" s="7">
        <v>2020051290044</v>
      </c>
      <c r="J223" s="6">
        <v>10</v>
      </c>
      <c r="K223" s="6">
        <v>24110</v>
      </c>
      <c r="L223" s="6" t="s">
        <v>373</v>
      </c>
      <c r="M223" s="6" t="s">
        <v>34</v>
      </c>
      <c r="N223" s="9" t="s">
        <v>35</v>
      </c>
      <c r="O223" s="6" t="s">
        <v>65</v>
      </c>
      <c r="P223" s="6" t="s">
        <v>37</v>
      </c>
      <c r="Q223" s="6">
        <v>1</v>
      </c>
      <c r="R223" s="21">
        <f t="shared" si="4"/>
        <v>246746876</v>
      </c>
      <c r="S223" s="21">
        <v>0</v>
      </c>
      <c r="T223" s="16">
        <v>0</v>
      </c>
      <c r="U223" s="16">
        <v>0</v>
      </c>
      <c r="V223" s="20">
        <v>0</v>
      </c>
      <c r="W223" s="16">
        <f>281048876-34302000</f>
        <v>246746876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</row>
    <row r="224" spans="1:33" ht="30" customHeight="1" x14ac:dyDescent="0.2">
      <c r="A224" s="6">
        <v>2</v>
      </c>
      <c r="B224" s="6" t="s">
        <v>313</v>
      </c>
      <c r="C224" s="6">
        <v>5</v>
      </c>
      <c r="D224" s="6" t="s">
        <v>374</v>
      </c>
      <c r="E224" s="6" t="s">
        <v>375</v>
      </c>
      <c r="F224" s="6" t="s">
        <v>376</v>
      </c>
      <c r="G224" s="6" t="s">
        <v>377</v>
      </c>
      <c r="H224" s="6" t="s">
        <v>378</v>
      </c>
      <c r="I224" s="7">
        <v>2020051290022</v>
      </c>
      <c r="J224" s="6">
        <v>1</v>
      </c>
      <c r="K224" s="6">
        <v>2511</v>
      </c>
      <c r="L224" s="6" t="s">
        <v>379</v>
      </c>
      <c r="M224" s="6" t="s">
        <v>78</v>
      </c>
      <c r="N224" s="9" t="s">
        <v>60</v>
      </c>
      <c r="O224" s="6" t="s">
        <v>685</v>
      </c>
      <c r="P224" s="6" t="s">
        <v>37</v>
      </c>
      <c r="Q224" s="9">
        <v>1</v>
      </c>
      <c r="R224" s="21">
        <f t="shared" si="4"/>
        <v>130668851</v>
      </c>
      <c r="S224" s="21">
        <v>0</v>
      </c>
      <c r="T224" s="20">
        <v>0</v>
      </c>
      <c r="U224" s="20">
        <v>0</v>
      </c>
      <c r="V224" s="20">
        <v>0</v>
      </c>
      <c r="W224" s="20">
        <f>96410250+21109535+13149066</f>
        <v>130668851</v>
      </c>
      <c r="X224" s="20">
        <v>0</v>
      </c>
      <c r="Y224" s="20">
        <v>0</v>
      </c>
      <c r="Z224" s="20">
        <v>0</v>
      </c>
      <c r="AA224" s="20">
        <v>0</v>
      </c>
      <c r="AB224" s="20">
        <v>0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</row>
    <row r="225" spans="1:33" ht="30" customHeight="1" x14ac:dyDescent="0.2">
      <c r="A225" s="6">
        <v>2</v>
      </c>
      <c r="B225" s="6" t="s">
        <v>313</v>
      </c>
      <c r="C225" s="6">
        <v>5</v>
      </c>
      <c r="D225" s="6" t="s">
        <v>374</v>
      </c>
      <c r="E225" s="6" t="s">
        <v>375</v>
      </c>
      <c r="F225" s="6" t="s">
        <v>376</v>
      </c>
      <c r="G225" s="6" t="s">
        <v>377</v>
      </c>
      <c r="H225" s="6" t="s">
        <v>378</v>
      </c>
      <c r="I225" s="7">
        <v>2020051290022</v>
      </c>
      <c r="J225" s="6">
        <v>2</v>
      </c>
      <c r="K225" s="6">
        <v>2512</v>
      </c>
      <c r="L225" s="6" t="s">
        <v>380</v>
      </c>
      <c r="M225" s="6" t="s">
        <v>34</v>
      </c>
      <c r="N225" s="9" t="s">
        <v>35</v>
      </c>
      <c r="O225" s="6" t="s">
        <v>685</v>
      </c>
      <c r="P225" s="6" t="s">
        <v>37</v>
      </c>
      <c r="Q225" s="6">
        <v>4</v>
      </c>
      <c r="R225" s="21">
        <f t="shared" si="4"/>
        <v>39258601</v>
      </c>
      <c r="S225" s="21">
        <v>0</v>
      </c>
      <c r="T225" s="20">
        <v>0</v>
      </c>
      <c r="U225" s="20">
        <v>0</v>
      </c>
      <c r="V225" s="20">
        <v>0</v>
      </c>
      <c r="W225" s="20">
        <f>5000000+21109535+13149066</f>
        <v>39258601</v>
      </c>
      <c r="X225" s="20">
        <v>0</v>
      </c>
      <c r="Y225" s="20">
        <v>0</v>
      </c>
      <c r="Z225" s="20">
        <v>0</v>
      </c>
      <c r="AA225" s="20">
        <v>0</v>
      </c>
      <c r="AB225" s="20">
        <v>0</v>
      </c>
      <c r="AC225" s="20">
        <v>0</v>
      </c>
      <c r="AD225" s="20">
        <v>0</v>
      </c>
      <c r="AE225" s="20">
        <v>0</v>
      </c>
      <c r="AF225" s="20">
        <v>0</v>
      </c>
      <c r="AG225" s="20">
        <v>0</v>
      </c>
    </row>
    <row r="226" spans="1:33" ht="30" customHeight="1" x14ac:dyDescent="0.2">
      <c r="A226" s="6">
        <v>2</v>
      </c>
      <c r="B226" s="6" t="s">
        <v>313</v>
      </c>
      <c r="C226" s="6">
        <v>5</v>
      </c>
      <c r="D226" s="6" t="s">
        <v>374</v>
      </c>
      <c r="E226" s="6" t="s">
        <v>375</v>
      </c>
      <c r="F226" s="6" t="s">
        <v>376</v>
      </c>
      <c r="G226" s="6" t="s">
        <v>377</v>
      </c>
      <c r="H226" s="6" t="s">
        <v>378</v>
      </c>
      <c r="I226" s="7">
        <v>2020051290022</v>
      </c>
      <c r="J226" s="6">
        <v>3</v>
      </c>
      <c r="K226" s="6">
        <v>2513</v>
      </c>
      <c r="L226" s="6" t="s">
        <v>381</v>
      </c>
      <c r="M226" s="6" t="s">
        <v>34</v>
      </c>
      <c r="N226" s="9" t="s">
        <v>35</v>
      </c>
      <c r="O226" s="6" t="s">
        <v>685</v>
      </c>
      <c r="P226" s="6" t="s">
        <v>37</v>
      </c>
      <c r="Q226" s="6">
        <v>2</v>
      </c>
      <c r="R226" s="21">
        <f t="shared" si="4"/>
        <v>39258601</v>
      </c>
      <c r="S226" s="21">
        <v>0</v>
      </c>
      <c r="T226" s="20">
        <v>0</v>
      </c>
      <c r="U226" s="20">
        <v>0</v>
      </c>
      <c r="V226" s="20">
        <v>0</v>
      </c>
      <c r="W226" s="20">
        <f>5000000+21109535+13149066</f>
        <v>39258601</v>
      </c>
      <c r="X226" s="20">
        <v>0</v>
      </c>
      <c r="Y226" s="20">
        <v>0</v>
      </c>
      <c r="Z226" s="20">
        <v>0</v>
      </c>
      <c r="AA226" s="20">
        <v>0</v>
      </c>
      <c r="AB226" s="20">
        <v>0</v>
      </c>
      <c r="AC226" s="20">
        <v>0</v>
      </c>
      <c r="AD226" s="20">
        <v>0</v>
      </c>
      <c r="AE226" s="20">
        <v>0</v>
      </c>
      <c r="AF226" s="20">
        <v>0</v>
      </c>
      <c r="AG226" s="20">
        <v>0</v>
      </c>
    </row>
    <row r="227" spans="1:33" ht="30" customHeight="1" x14ac:dyDescent="0.2">
      <c r="A227" s="6">
        <v>2</v>
      </c>
      <c r="B227" s="6" t="s">
        <v>313</v>
      </c>
      <c r="C227" s="6">
        <v>5</v>
      </c>
      <c r="D227" s="6" t="s">
        <v>374</v>
      </c>
      <c r="E227" s="6" t="s">
        <v>375</v>
      </c>
      <c r="F227" s="6" t="s">
        <v>376</v>
      </c>
      <c r="G227" s="6" t="s">
        <v>377</v>
      </c>
      <c r="H227" s="6" t="s">
        <v>378</v>
      </c>
      <c r="I227" s="7">
        <v>2020051290022</v>
      </c>
      <c r="J227" s="6">
        <v>4</v>
      </c>
      <c r="K227" s="6">
        <v>2514</v>
      </c>
      <c r="L227" s="6" t="s">
        <v>382</v>
      </c>
      <c r="M227" s="6" t="s">
        <v>34</v>
      </c>
      <c r="N227" s="9" t="s">
        <v>35</v>
      </c>
      <c r="O227" s="6" t="s">
        <v>685</v>
      </c>
      <c r="P227" s="6" t="s">
        <v>37</v>
      </c>
      <c r="Q227" s="6">
        <v>1</v>
      </c>
      <c r="R227" s="21">
        <f t="shared" si="4"/>
        <v>142258601</v>
      </c>
      <c r="S227" s="21">
        <v>0</v>
      </c>
      <c r="T227" s="20">
        <v>0</v>
      </c>
      <c r="U227" s="20">
        <v>0</v>
      </c>
      <c r="V227" s="20">
        <v>0</v>
      </c>
      <c r="W227" s="20">
        <f>108000000+21109535+13149066</f>
        <v>142258601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  <c r="AE227" s="20">
        <v>0</v>
      </c>
      <c r="AF227" s="20">
        <v>0</v>
      </c>
      <c r="AG227" s="20">
        <v>0</v>
      </c>
    </row>
    <row r="228" spans="1:33" ht="30" customHeight="1" x14ac:dyDescent="0.2">
      <c r="A228" s="6">
        <v>2</v>
      </c>
      <c r="B228" s="6" t="s">
        <v>313</v>
      </c>
      <c r="C228" s="6">
        <v>5</v>
      </c>
      <c r="D228" s="6" t="s">
        <v>374</v>
      </c>
      <c r="E228" s="6" t="s">
        <v>375</v>
      </c>
      <c r="F228" s="6" t="s">
        <v>376</v>
      </c>
      <c r="G228" s="6" t="s">
        <v>377</v>
      </c>
      <c r="H228" s="6" t="s">
        <v>378</v>
      </c>
      <c r="I228" s="7">
        <v>2020051290022</v>
      </c>
      <c r="J228" s="6">
        <v>5</v>
      </c>
      <c r="K228" s="6">
        <v>2515</v>
      </c>
      <c r="L228" s="6" t="s">
        <v>383</v>
      </c>
      <c r="M228" s="6" t="s">
        <v>34</v>
      </c>
      <c r="N228" s="9" t="s">
        <v>35</v>
      </c>
      <c r="O228" s="6" t="s">
        <v>685</v>
      </c>
      <c r="P228" s="6" t="s">
        <v>37</v>
      </c>
      <c r="Q228" s="6">
        <v>2</v>
      </c>
      <c r="R228" s="21">
        <f t="shared" si="4"/>
        <v>59258601</v>
      </c>
      <c r="S228" s="21">
        <v>0</v>
      </c>
      <c r="T228" s="20">
        <v>0</v>
      </c>
      <c r="U228" s="20">
        <v>0</v>
      </c>
      <c r="V228" s="20">
        <v>0</v>
      </c>
      <c r="W228" s="20">
        <f>25000000+21109535+13149066</f>
        <v>59258601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0</v>
      </c>
      <c r="AD228" s="20">
        <v>0</v>
      </c>
      <c r="AE228" s="20">
        <v>0</v>
      </c>
      <c r="AF228" s="20">
        <v>0</v>
      </c>
      <c r="AG228" s="20">
        <v>0</v>
      </c>
    </row>
    <row r="229" spans="1:33" ht="30" customHeight="1" x14ac:dyDescent="0.2">
      <c r="A229" s="6">
        <v>2</v>
      </c>
      <c r="B229" s="6" t="s">
        <v>313</v>
      </c>
      <c r="C229" s="6">
        <v>5</v>
      </c>
      <c r="D229" s="6" t="s">
        <v>374</v>
      </c>
      <c r="E229" s="6" t="s">
        <v>375</v>
      </c>
      <c r="F229" s="6" t="s">
        <v>376</v>
      </c>
      <c r="G229" s="6" t="s">
        <v>377</v>
      </c>
      <c r="H229" s="6" t="s">
        <v>378</v>
      </c>
      <c r="I229" s="7">
        <v>2020051290022</v>
      </c>
      <c r="J229" s="6">
        <v>6</v>
      </c>
      <c r="K229" s="6">
        <v>2516</v>
      </c>
      <c r="L229" s="6" t="s">
        <v>384</v>
      </c>
      <c r="M229" s="6" t="s">
        <v>34</v>
      </c>
      <c r="N229" s="9" t="s">
        <v>35</v>
      </c>
      <c r="O229" s="6" t="s">
        <v>685</v>
      </c>
      <c r="P229" s="6" t="s">
        <v>37</v>
      </c>
      <c r="Q229" s="6">
        <v>1</v>
      </c>
      <c r="R229" s="21">
        <f t="shared" si="4"/>
        <v>77258601</v>
      </c>
      <c r="S229" s="21">
        <v>0</v>
      </c>
      <c r="T229" s="20">
        <v>0</v>
      </c>
      <c r="U229" s="20">
        <v>0</v>
      </c>
      <c r="V229" s="20">
        <v>0</v>
      </c>
      <c r="W229" s="20">
        <f>43000000+21109535+13149066</f>
        <v>77258601</v>
      </c>
      <c r="X229" s="20">
        <v>0</v>
      </c>
      <c r="Y229" s="20">
        <v>0</v>
      </c>
      <c r="Z229" s="20">
        <v>0</v>
      </c>
      <c r="AA229" s="20">
        <v>0</v>
      </c>
      <c r="AB229" s="20">
        <v>0</v>
      </c>
      <c r="AC229" s="20">
        <v>0</v>
      </c>
      <c r="AD229" s="20">
        <v>0</v>
      </c>
      <c r="AE229" s="20">
        <v>0</v>
      </c>
      <c r="AF229" s="20">
        <v>0</v>
      </c>
      <c r="AG229" s="20">
        <v>0</v>
      </c>
    </row>
    <row r="230" spans="1:33" ht="30" customHeight="1" x14ac:dyDescent="0.2">
      <c r="A230" s="6">
        <v>2</v>
      </c>
      <c r="B230" s="6" t="s">
        <v>313</v>
      </c>
      <c r="C230" s="6">
        <v>5</v>
      </c>
      <c r="D230" s="6" t="s">
        <v>374</v>
      </c>
      <c r="E230" s="6" t="s">
        <v>375</v>
      </c>
      <c r="F230" s="6" t="s">
        <v>376</v>
      </c>
      <c r="G230" s="6" t="s">
        <v>377</v>
      </c>
      <c r="H230" s="6" t="s">
        <v>378</v>
      </c>
      <c r="I230" s="7">
        <v>2020051290022</v>
      </c>
      <c r="J230" s="6">
        <v>7</v>
      </c>
      <c r="K230" s="6">
        <v>2517</v>
      </c>
      <c r="L230" s="6" t="s">
        <v>385</v>
      </c>
      <c r="M230" s="6" t="s">
        <v>78</v>
      </c>
      <c r="N230" s="9" t="s">
        <v>60</v>
      </c>
      <c r="O230" s="6" t="s">
        <v>685</v>
      </c>
      <c r="P230" s="6" t="s">
        <v>37</v>
      </c>
      <c r="Q230" s="9">
        <v>1</v>
      </c>
      <c r="R230" s="21">
        <f t="shared" si="4"/>
        <v>54258601</v>
      </c>
      <c r="S230" s="21">
        <v>0</v>
      </c>
      <c r="T230" s="20">
        <v>0</v>
      </c>
      <c r="U230" s="20">
        <v>0</v>
      </c>
      <c r="V230" s="20">
        <v>0</v>
      </c>
      <c r="W230" s="20">
        <f>20000000+21109535+13149066</f>
        <v>54258601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  <c r="AC230" s="20">
        <v>0</v>
      </c>
      <c r="AD230" s="20">
        <v>0</v>
      </c>
      <c r="AE230" s="20">
        <v>0</v>
      </c>
      <c r="AF230" s="20">
        <v>0</v>
      </c>
      <c r="AG230" s="20">
        <v>0</v>
      </c>
    </row>
    <row r="231" spans="1:33" ht="30" customHeight="1" x14ac:dyDescent="0.2">
      <c r="A231" s="6">
        <v>2</v>
      </c>
      <c r="B231" s="6" t="s">
        <v>313</v>
      </c>
      <c r="C231" s="6">
        <v>5</v>
      </c>
      <c r="D231" s="6" t="s">
        <v>374</v>
      </c>
      <c r="E231" s="6" t="s">
        <v>375</v>
      </c>
      <c r="F231" s="6" t="s">
        <v>376</v>
      </c>
      <c r="G231" s="6" t="s">
        <v>377</v>
      </c>
      <c r="H231" s="6" t="s">
        <v>378</v>
      </c>
      <c r="I231" s="7">
        <v>2020051290022</v>
      </c>
      <c r="J231" s="6">
        <v>8</v>
      </c>
      <c r="K231" s="6">
        <v>2518</v>
      </c>
      <c r="L231" s="6" t="s">
        <v>386</v>
      </c>
      <c r="M231" s="6" t="s">
        <v>34</v>
      </c>
      <c r="N231" s="9" t="s">
        <v>35</v>
      </c>
      <c r="O231" s="6" t="s">
        <v>685</v>
      </c>
      <c r="P231" s="6" t="s">
        <v>37</v>
      </c>
      <c r="Q231" s="6">
        <v>50</v>
      </c>
      <c r="R231" s="21">
        <f t="shared" si="4"/>
        <v>39258601</v>
      </c>
      <c r="S231" s="21">
        <v>0</v>
      </c>
      <c r="T231" s="20">
        <v>0</v>
      </c>
      <c r="U231" s="20">
        <v>0</v>
      </c>
      <c r="V231" s="20">
        <v>0</v>
      </c>
      <c r="W231" s="20">
        <f>5000000+21109535+13149066</f>
        <v>39258601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</row>
    <row r="232" spans="1:33" ht="45" customHeight="1" x14ac:dyDescent="0.2">
      <c r="A232" s="6">
        <v>2</v>
      </c>
      <c r="B232" s="6" t="s">
        <v>313</v>
      </c>
      <c r="C232" s="6">
        <v>5</v>
      </c>
      <c r="D232" s="6" t="s">
        <v>374</v>
      </c>
      <c r="E232" s="6" t="s">
        <v>375</v>
      </c>
      <c r="F232" s="6" t="s">
        <v>376</v>
      </c>
      <c r="G232" s="6" t="s">
        <v>377</v>
      </c>
      <c r="H232" s="6" t="s">
        <v>378</v>
      </c>
      <c r="I232" s="7">
        <v>2020051290022</v>
      </c>
      <c r="J232" s="6">
        <v>9</v>
      </c>
      <c r="K232" s="6">
        <v>2519</v>
      </c>
      <c r="L232" s="6" t="s">
        <v>387</v>
      </c>
      <c r="M232" s="6" t="s">
        <v>34</v>
      </c>
      <c r="N232" s="9" t="s">
        <v>35</v>
      </c>
      <c r="O232" s="6" t="s">
        <v>685</v>
      </c>
      <c r="P232" s="6" t="s">
        <v>37</v>
      </c>
      <c r="Q232" s="6">
        <v>1</v>
      </c>
      <c r="R232" s="21">
        <f t="shared" si="4"/>
        <v>87258601</v>
      </c>
      <c r="S232" s="21">
        <v>0</v>
      </c>
      <c r="T232" s="20">
        <v>0</v>
      </c>
      <c r="U232" s="20">
        <v>0</v>
      </c>
      <c r="V232" s="20">
        <v>0</v>
      </c>
      <c r="W232" s="20">
        <f>53000000+21109535+13149066</f>
        <v>87258601</v>
      </c>
      <c r="X232" s="20">
        <v>0</v>
      </c>
      <c r="Y232" s="20">
        <v>0</v>
      </c>
      <c r="Z232" s="20">
        <v>0</v>
      </c>
      <c r="AA232" s="20">
        <v>0</v>
      </c>
      <c r="AB232" s="20">
        <v>0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</row>
    <row r="233" spans="1:33" ht="45" customHeight="1" x14ac:dyDescent="0.2">
      <c r="A233" s="6">
        <v>2</v>
      </c>
      <c r="B233" s="6" t="s">
        <v>313</v>
      </c>
      <c r="C233" s="6">
        <v>5</v>
      </c>
      <c r="D233" s="6" t="s">
        <v>374</v>
      </c>
      <c r="E233" s="6" t="s">
        <v>375</v>
      </c>
      <c r="F233" s="6" t="s">
        <v>376</v>
      </c>
      <c r="G233" s="6" t="s">
        <v>377</v>
      </c>
      <c r="H233" s="6" t="s">
        <v>378</v>
      </c>
      <c r="I233" s="7">
        <v>2020051290022</v>
      </c>
      <c r="J233" s="6">
        <v>10</v>
      </c>
      <c r="K233" s="6">
        <v>25110</v>
      </c>
      <c r="L233" s="6" t="s">
        <v>388</v>
      </c>
      <c r="M233" s="6" t="s">
        <v>34</v>
      </c>
      <c r="N233" s="9" t="s">
        <v>35</v>
      </c>
      <c r="O233" s="6" t="s">
        <v>685</v>
      </c>
      <c r="P233" s="6" t="s">
        <v>37</v>
      </c>
      <c r="Q233" s="6">
        <v>1</v>
      </c>
      <c r="R233" s="21">
        <f t="shared" si="4"/>
        <v>129258601</v>
      </c>
      <c r="S233" s="21">
        <v>0</v>
      </c>
      <c r="T233" s="20">
        <v>0</v>
      </c>
      <c r="U233" s="20">
        <v>0</v>
      </c>
      <c r="V233" s="20">
        <v>0</v>
      </c>
      <c r="W233" s="20">
        <f>95000000+21109535+13149066</f>
        <v>129258601</v>
      </c>
      <c r="X233" s="20">
        <v>0</v>
      </c>
      <c r="Y233" s="20">
        <v>0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0</v>
      </c>
      <c r="AF233" s="20">
        <v>0</v>
      </c>
      <c r="AG233" s="20">
        <v>0</v>
      </c>
    </row>
    <row r="234" spans="1:33" ht="30" customHeight="1" x14ac:dyDescent="0.2">
      <c r="A234" s="6">
        <v>2</v>
      </c>
      <c r="B234" s="6" t="s">
        <v>313</v>
      </c>
      <c r="C234" s="6">
        <v>5</v>
      </c>
      <c r="D234" s="6" t="s">
        <v>374</v>
      </c>
      <c r="E234" s="6" t="s">
        <v>375</v>
      </c>
      <c r="F234" s="6" t="s">
        <v>389</v>
      </c>
      <c r="G234" s="6" t="s">
        <v>390</v>
      </c>
      <c r="H234" s="6" t="s">
        <v>391</v>
      </c>
      <c r="I234" s="7">
        <v>2020051290060</v>
      </c>
      <c r="J234" s="6">
        <v>1</v>
      </c>
      <c r="K234" s="6">
        <v>2521</v>
      </c>
      <c r="L234" s="6" t="s">
        <v>392</v>
      </c>
      <c r="M234" s="6" t="s">
        <v>34</v>
      </c>
      <c r="N234" s="9" t="s">
        <v>35</v>
      </c>
      <c r="O234" s="6" t="s">
        <v>685</v>
      </c>
      <c r="P234" s="6" t="s">
        <v>37</v>
      </c>
      <c r="Q234" s="6">
        <v>1</v>
      </c>
      <c r="R234" s="21">
        <f t="shared" si="4"/>
        <v>53561379</v>
      </c>
      <c r="S234" s="21">
        <v>0</v>
      </c>
      <c r="T234" s="20">
        <v>0</v>
      </c>
      <c r="U234" s="20">
        <v>0</v>
      </c>
      <c r="V234" s="20">
        <v>0</v>
      </c>
      <c r="W234" s="20">
        <f>19302778+21109535+13149066</f>
        <v>53561379</v>
      </c>
      <c r="X234" s="20">
        <v>0</v>
      </c>
      <c r="Y234" s="20">
        <v>0</v>
      </c>
      <c r="Z234" s="20">
        <v>0</v>
      </c>
      <c r="AA234" s="20">
        <v>0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>
        <v>0</v>
      </c>
    </row>
    <row r="235" spans="1:33" ht="30" customHeight="1" x14ac:dyDescent="0.2">
      <c r="A235" s="6">
        <v>2</v>
      </c>
      <c r="B235" s="6" t="s">
        <v>313</v>
      </c>
      <c r="C235" s="6">
        <v>5</v>
      </c>
      <c r="D235" s="6" t="s">
        <v>374</v>
      </c>
      <c r="E235" s="6" t="s">
        <v>375</v>
      </c>
      <c r="F235" s="6" t="s">
        <v>389</v>
      </c>
      <c r="G235" s="6" t="s">
        <v>390</v>
      </c>
      <c r="H235" s="6" t="s">
        <v>391</v>
      </c>
      <c r="I235" s="7">
        <v>2020051290060</v>
      </c>
      <c r="J235" s="6">
        <v>1</v>
      </c>
      <c r="K235" s="6">
        <v>2521</v>
      </c>
      <c r="L235" s="6" t="s">
        <v>392</v>
      </c>
      <c r="M235" s="6" t="s">
        <v>34</v>
      </c>
      <c r="N235" s="9" t="s">
        <v>35</v>
      </c>
      <c r="O235" s="6" t="s">
        <v>685</v>
      </c>
      <c r="P235" s="6" t="s">
        <v>37</v>
      </c>
      <c r="Q235" s="6">
        <v>1</v>
      </c>
      <c r="R235" s="21">
        <f t="shared" si="4"/>
        <v>45955574</v>
      </c>
      <c r="S235" s="21">
        <v>0</v>
      </c>
      <c r="T235" s="20">
        <v>0</v>
      </c>
      <c r="U235" s="20">
        <v>0</v>
      </c>
      <c r="V235" s="20">
        <v>0</v>
      </c>
      <c r="W235" s="20">
        <f>11696973+21109535+13149066</f>
        <v>45955574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0</v>
      </c>
      <c r="AF235" s="20">
        <v>0</v>
      </c>
      <c r="AG235" s="20">
        <v>0</v>
      </c>
    </row>
    <row r="236" spans="1:33" ht="30" customHeight="1" x14ac:dyDescent="0.2">
      <c r="A236" s="6">
        <v>2</v>
      </c>
      <c r="B236" s="6" t="s">
        <v>313</v>
      </c>
      <c r="C236" s="6">
        <v>5</v>
      </c>
      <c r="D236" s="6" t="s">
        <v>374</v>
      </c>
      <c r="E236" s="6" t="s">
        <v>375</v>
      </c>
      <c r="F236" s="6" t="s">
        <v>389</v>
      </c>
      <c r="G236" s="6" t="s">
        <v>390</v>
      </c>
      <c r="H236" s="6" t="s">
        <v>391</v>
      </c>
      <c r="I236" s="7">
        <v>2020051290060</v>
      </c>
      <c r="J236" s="6">
        <v>1</v>
      </c>
      <c r="K236" s="6">
        <v>2521</v>
      </c>
      <c r="L236" s="6" t="s">
        <v>392</v>
      </c>
      <c r="M236" s="6" t="s">
        <v>34</v>
      </c>
      <c r="N236" s="9" t="s">
        <v>35</v>
      </c>
      <c r="O236" s="6" t="s">
        <v>685</v>
      </c>
      <c r="P236" s="6" t="s">
        <v>37</v>
      </c>
      <c r="Q236" s="6">
        <v>1</v>
      </c>
      <c r="R236" s="21">
        <f t="shared" si="4"/>
        <v>114600481</v>
      </c>
      <c r="S236" s="21">
        <v>0</v>
      </c>
      <c r="T236" s="20">
        <v>0</v>
      </c>
      <c r="U236" s="20">
        <v>0</v>
      </c>
      <c r="V236" s="20">
        <v>0</v>
      </c>
      <c r="W236" s="20">
        <f>80341875+21109540+13149066</f>
        <v>114600481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0">
        <v>0</v>
      </c>
      <c r="AD236" s="20">
        <v>0</v>
      </c>
      <c r="AE236" s="20">
        <v>0</v>
      </c>
      <c r="AF236" s="20">
        <v>0</v>
      </c>
      <c r="AG236" s="20">
        <v>0</v>
      </c>
    </row>
    <row r="237" spans="1:33" ht="30" customHeight="1" x14ac:dyDescent="0.2">
      <c r="A237" s="6">
        <v>2</v>
      </c>
      <c r="B237" s="6" t="s">
        <v>313</v>
      </c>
      <c r="C237" s="6">
        <v>5</v>
      </c>
      <c r="D237" s="6" t="s">
        <v>374</v>
      </c>
      <c r="E237" s="6" t="s">
        <v>375</v>
      </c>
      <c r="F237" s="6" t="s">
        <v>389</v>
      </c>
      <c r="G237" s="6" t="s">
        <v>390</v>
      </c>
      <c r="H237" s="6" t="s">
        <v>391</v>
      </c>
      <c r="I237" s="7">
        <v>2020051290060</v>
      </c>
      <c r="J237" s="6">
        <v>1</v>
      </c>
      <c r="K237" s="6">
        <v>2521</v>
      </c>
      <c r="L237" s="6" t="s">
        <v>392</v>
      </c>
      <c r="M237" s="6" t="s">
        <v>34</v>
      </c>
      <c r="N237" s="9" t="s">
        <v>35</v>
      </c>
      <c r="O237" s="6" t="s">
        <v>685</v>
      </c>
      <c r="P237" s="6" t="s">
        <v>37</v>
      </c>
      <c r="Q237" s="6">
        <v>1</v>
      </c>
      <c r="R237" s="21">
        <f t="shared" ref="R237:R272" si="5">SUM(S237:AG237)</f>
        <v>52979838</v>
      </c>
      <c r="S237" s="21">
        <v>0</v>
      </c>
      <c r="T237" s="20">
        <v>0</v>
      </c>
      <c r="U237" s="20">
        <v>0</v>
      </c>
      <c r="V237" s="20">
        <v>0</v>
      </c>
      <c r="W237" s="20">
        <f>18721237+21109535+13149066</f>
        <v>52979838</v>
      </c>
      <c r="X237" s="20">
        <v>0</v>
      </c>
      <c r="Y237" s="20">
        <v>0</v>
      </c>
      <c r="Z237" s="20">
        <v>0</v>
      </c>
      <c r="AA237" s="20">
        <v>0</v>
      </c>
      <c r="AB237" s="20">
        <v>0</v>
      </c>
      <c r="AC237" s="20">
        <v>0</v>
      </c>
      <c r="AD237" s="20">
        <v>0</v>
      </c>
      <c r="AE237" s="20">
        <v>0</v>
      </c>
      <c r="AF237" s="20">
        <v>0</v>
      </c>
      <c r="AG237" s="20">
        <v>0</v>
      </c>
    </row>
    <row r="238" spans="1:33" ht="30" customHeight="1" x14ac:dyDescent="0.2">
      <c r="A238" s="6">
        <v>2</v>
      </c>
      <c r="B238" s="6" t="s">
        <v>313</v>
      </c>
      <c r="C238" s="6">
        <v>5</v>
      </c>
      <c r="D238" s="6" t="s">
        <v>374</v>
      </c>
      <c r="E238" s="6" t="s">
        <v>375</v>
      </c>
      <c r="F238" s="6" t="s">
        <v>389</v>
      </c>
      <c r="G238" s="6" t="s">
        <v>390</v>
      </c>
      <c r="H238" s="6" t="s">
        <v>391</v>
      </c>
      <c r="I238" s="7">
        <v>2020051290060</v>
      </c>
      <c r="J238" s="6">
        <v>2</v>
      </c>
      <c r="K238" s="6">
        <v>2522</v>
      </c>
      <c r="L238" s="6" t="s">
        <v>393</v>
      </c>
      <c r="M238" s="6" t="s">
        <v>34</v>
      </c>
      <c r="N238" s="9" t="s">
        <v>35</v>
      </c>
      <c r="O238" s="6" t="s">
        <v>685</v>
      </c>
      <c r="P238" s="6" t="s">
        <v>37</v>
      </c>
      <c r="Q238" s="6">
        <v>1</v>
      </c>
      <c r="R238" s="21">
        <f t="shared" si="5"/>
        <v>137906468</v>
      </c>
      <c r="S238" s="21">
        <v>0</v>
      </c>
      <c r="T238" s="20">
        <v>0</v>
      </c>
      <c r="U238" s="20">
        <v>0</v>
      </c>
      <c r="V238" s="20">
        <v>0</v>
      </c>
      <c r="W238" s="20">
        <f>103647857+21109535+13149066+10</f>
        <v>137906468</v>
      </c>
      <c r="X238" s="20">
        <v>0</v>
      </c>
      <c r="Y238" s="20">
        <v>0</v>
      </c>
      <c r="Z238" s="20">
        <v>0</v>
      </c>
      <c r="AA238" s="20">
        <v>0</v>
      </c>
      <c r="AB238" s="20">
        <v>0</v>
      </c>
      <c r="AC238" s="20">
        <v>0</v>
      </c>
      <c r="AD238" s="20">
        <v>0</v>
      </c>
      <c r="AE238" s="20">
        <v>0</v>
      </c>
      <c r="AF238" s="20">
        <v>0</v>
      </c>
      <c r="AG238" s="20">
        <v>0</v>
      </c>
    </row>
    <row r="239" spans="1:33" ht="30" customHeight="1" x14ac:dyDescent="0.2">
      <c r="A239" s="6">
        <v>2</v>
      </c>
      <c r="B239" s="6" t="s">
        <v>313</v>
      </c>
      <c r="C239" s="6">
        <v>6</v>
      </c>
      <c r="D239" s="6" t="s">
        <v>394</v>
      </c>
      <c r="E239" s="6" t="s">
        <v>395</v>
      </c>
      <c r="F239" s="6" t="s">
        <v>396</v>
      </c>
      <c r="G239" s="6" t="s">
        <v>397</v>
      </c>
      <c r="H239" s="6" t="s">
        <v>398</v>
      </c>
      <c r="I239" s="7">
        <v>2020051290055</v>
      </c>
      <c r="J239" s="6">
        <v>1</v>
      </c>
      <c r="K239" s="6">
        <v>2611</v>
      </c>
      <c r="L239" s="6" t="s">
        <v>399</v>
      </c>
      <c r="M239" s="6" t="s">
        <v>78</v>
      </c>
      <c r="N239" s="9" t="s">
        <v>60</v>
      </c>
      <c r="O239" s="6" t="s">
        <v>682</v>
      </c>
      <c r="P239" s="6" t="s">
        <v>37</v>
      </c>
      <c r="Q239" s="9">
        <v>1</v>
      </c>
      <c r="R239" s="21">
        <f t="shared" si="5"/>
        <v>49022274</v>
      </c>
      <c r="S239" s="21">
        <v>0</v>
      </c>
      <c r="T239" s="16">
        <v>0</v>
      </c>
      <c r="U239" s="16">
        <v>0</v>
      </c>
      <c r="V239" s="20">
        <v>0</v>
      </c>
      <c r="W239" s="16">
        <f>34568411+14453863</f>
        <v>49022274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6">
        <v>0</v>
      </c>
    </row>
    <row r="240" spans="1:33" ht="30" customHeight="1" x14ac:dyDescent="0.2">
      <c r="A240" s="6">
        <v>2</v>
      </c>
      <c r="B240" s="6" t="s">
        <v>313</v>
      </c>
      <c r="C240" s="6">
        <v>6</v>
      </c>
      <c r="D240" s="6" t="s">
        <v>394</v>
      </c>
      <c r="E240" s="6" t="s">
        <v>395</v>
      </c>
      <c r="F240" s="6" t="s">
        <v>396</v>
      </c>
      <c r="G240" s="6" t="s">
        <v>397</v>
      </c>
      <c r="H240" s="6" t="s">
        <v>398</v>
      </c>
      <c r="I240" s="7">
        <v>2020051290055</v>
      </c>
      <c r="J240" s="6">
        <v>2</v>
      </c>
      <c r="K240" s="6">
        <v>2612</v>
      </c>
      <c r="L240" s="6" t="s">
        <v>400</v>
      </c>
      <c r="M240" s="6" t="s">
        <v>34</v>
      </c>
      <c r="N240" s="9" t="s">
        <v>35</v>
      </c>
      <c r="O240" s="6" t="s">
        <v>682</v>
      </c>
      <c r="P240" s="6" t="s">
        <v>37</v>
      </c>
      <c r="Q240" s="6">
        <v>4</v>
      </c>
      <c r="R240" s="21">
        <f t="shared" si="5"/>
        <v>51953863</v>
      </c>
      <c r="S240" s="21">
        <v>0</v>
      </c>
      <c r="T240" s="16">
        <v>0</v>
      </c>
      <c r="U240" s="16">
        <v>0</v>
      </c>
      <c r="V240" s="20">
        <v>0</v>
      </c>
      <c r="W240" s="16">
        <f>37500000+14453863</f>
        <v>51953863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1" spans="1:33" ht="30" customHeight="1" x14ac:dyDescent="0.2">
      <c r="A241" s="6">
        <v>2</v>
      </c>
      <c r="B241" s="6" t="s">
        <v>313</v>
      </c>
      <c r="C241" s="6">
        <v>6</v>
      </c>
      <c r="D241" s="6" t="s">
        <v>394</v>
      </c>
      <c r="E241" s="6" t="s">
        <v>395</v>
      </c>
      <c r="F241" s="6" t="s">
        <v>396</v>
      </c>
      <c r="G241" s="6" t="s">
        <v>397</v>
      </c>
      <c r="H241" s="6" t="s">
        <v>398</v>
      </c>
      <c r="I241" s="7">
        <v>2020051290055</v>
      </c>
      <c r="J241" s="6">
        <v>3</v>
      </c>
      <c r="K241" s="6">
        <v>2613</v>
      </c>
      <c r="L241" s="6" t="s">
        <v>401</v>
      </c>
      <c r="M241" s="6" t="s">
        <v>78</v>
      </c>
      <c r="N241" s="9" t="s">
        <v>60</v>
      </c>
      <c r="O241" s="6" t="s">
        <v>682</v>
      </c>
      <c r="P241" s="6" t="s">
        <v>37</v>
      </c>
      <c r="Q241" s="9">
        <v>1</v>
      </c>
      <c r="R241" s="21">
        <f t="shared" si="5"/>
        <v>34453863</v>
      </c>
      <c r="S241" s="21">
        <v>0</v>
      </c>
      <c r="T241" s="16">
        <v>0</v>
      </c>
      <c r="U241" s="16">
        <v>0</v>
      </c>
      <c r="V241" s="20">
        <v>0</v>
      </c>
      <c r="W241" s="16">
        <f>20000000+14453863</f>
        <v>34453863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</row>
    <row r="242" spans="1:33" ht="30" customHeight="1" x14ac:dyDescent="0.2">
      <c r="A242" s="6">
        <v>2</v>
      </c>
      <c r="B242" s="6" t="s">
        <v>313</v>
      </c>
      <c r="C242" s="6">
        <v>6</v>
      </c>
      <c r="D242" s="6" t="s">
        <v>394</v>
      </c>
      <c r="E242" s="6" t="s">
        <v>395</v>
      </c>
      <c r="F242" s="6" t="s">
        <v>402</v>
      </c>
      <c r="G242" s="6" t="s">
        <v>403</v>
      </c>
      <c r="H242" s="6" t="s">
        <v>398</v>
      </c>
      <c r="I242" s="7">
        <v>2020051290055</v>
      </c>
      <c r="J242" s="6">
        <v>2</v>
      </c>
      <c r="K242" s="6">
        <v>2622</v>
      </c>
      <c r="L242" s="6" t="s">
        <v>404</v>
      </c>
      <c r="M242" s="6" t="s">
        <v>34</v>
      </c>
      <c r="N242" s="9" t="s">
        <v>405</v>
      </c>
      <c r="O242" s="6" t="s">
        <v>682</v>
      </c>
      <c r="P242" s="6" t="s">
        <v>37</v>
      </c>
      <c r="Q242" s="6">
        <v>2</v>
      </c>
      <c r="R242" s="21">
        <f t="shared" si="5"/>
        <v>80676523</v>
      </c>
      <c r="S242" s="21">
        <v>0</v>
      </c>
      <c r="T242" s="16">
        <v>0</v>
      </c>
      <c r="U242" s="16">
        <v>0</v>
      </c>
      <c r="V242" s="20">
        <v>0</v>
      </c>
      <c r="W242" s="16">
        <f>66222660+14453863</f>
        <v>80676523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</row>
    <row r="243" spans="1:33" ht="30" customHeight="1" x14ac:dyDescent="0.2">
      <c r="A243" s="6">
        <v>2</v>
      </c>
      <c r="B243" s="6" t="s">
        <v>313</v>
      </c>
      <c r="C243" s="6">
        <v>6</v>
      </c>
      <c r="D243" s="6" t="s">
        <v>394</v>
      </c>
      <c r="E243" s="6" t="s">
        <v>395</v>
      </c>
      <c r="F243" s="6" t="s">
        <v>402</v>
      </c>
      <c r="G243" s="6" t="s">
        <v>403</v>
      </c>
      <c r="H243" s="6" t="s">
        <v>398</v>
      </c>
      <c r="I243" s="7">
        <v>2020051290055</v>
      </c>
      <c r="J243" s="6">
        <v>3</v>
      </c>
      <c r="K243" s="6">
        <v>2623</v>
      </c>
      <c r="L243" s="6" t="s">
        <v>406</v>
      </c>
      <c r="M243" s="6" t="s">
        <v>34</v>
      </c>
      <c r="N243" s="9" t="s">
        <v>35</v>
      </c>
      <c r="O243" s="6" t="s">
        <v>682</v>
      </c>
      <c r="P243" s="6" t="s">
        <v>52</v>
      </c>
      <c r="Q243" s="6">
        <v>1</v>
      </c>
      <c r="R243" s="21">
        <f t="shared" si="5"/>
        <v>74724234</v>
      </c>
      <c r="S243" s="21">
        <v>0</v>
      </c>
      <c r="T243" s="16">
        <v>0</v>
      </c>
      <c r="U243" s="16">
        <v>0</v>
      </c>
      <c r="V243" s="20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f>82772234-8048000</f>
        <v>74724234</v>
      </c>
      <c r="AE243" s="16">
        <v>0</v>
      </c>
      <c r="AF243" s="16">
        <v>0</v>
      </c>
      <c r="AG243" s="16">
        <v>0</v>
      </c>
    </row>
    <row r="244" spans="1:33" ht="30" customHeight="1" x14ac:dyDescent="0.2">
      <c r="A244" s="6">
        <v>2</v>
      </c>
      <c r="B244" s="6" t="s">
        <v>313</v>
      </c>
      <c r="C244" s="6">
        <v>6</v>
      </c>
      <c r="D244" s="6" t="s">
        <v>394</v>
      </c>
      <c r="E244" s="6" t="s">
        <v>395</v>
      </c>
      <c r="F244" s="6" t="s">
        <v>402</v>
      </c>
      <c r="G244" s="6" t="s">
        <v>403</v>
      </c>
      <c r="H244" s="6" t="s">
        <v>398</v>
      </c>
      <c r="I244" s="7">
        <v>2020051290055</v>
      </c>
      <c r="J244" s="6">
        <v>4</v>
      </c>
      <c r="K244" s="6">
        <v>2624</v>
      </c>
      <c r="L244" s="6" t="s">
        <v>407</v>
      </c>
      <c r="M244" s="6" t="s">
        <v>34</v>
      </c>
      <c r="N244" s="9" t="s">
        <v>35</v>
      </c>
      <c r="O244" s="6" t="s">
        <v>682</v>
      </c>
      <c r="P244" s="6" t="s">
        <v>37</v>
      </c>
      <c r="Q244" s="6">
        <v>2</v>
      </c>
      <c r="R244" s="21">
        <f t="shared" si="5"/>
        <v>40176363</v>
      </c>
      <c r="S244" s="21">
        <v>0</v>
      </c>
      <c r="T244" s="16">
        <v>0</v>
      </c>
      <c r="U244" s="16">
        <v>0</v>
      </c>
      <c r="V244" s="20">
        <v>0</v>
      </c>
      <c r="W244" s="16">
        <f>25722500+14453863</f>
        <v>40176363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</row>
    <row r="245" spans="1:33" ht="30" customHeight="1" x14ac:dyDescent="0.2">
      <c r="A245" s="6">
        <v>2</v>
      </c>
      <c r="B245" s="6" t="s">
        <v>313</v>
      </c>
      <c r="C245" s="6">
        <v>6</v>
      </c>
      <c r="D245" s="6" t="s">
        <v>394</v>
      </c>
      <c r="E245" s="6" t="s">
        <v>395</v>
      </c>
      <c r="F245" s="6" t="s">
        <v>402</v>
      </c>
      <c r="G245" s="6" t="s">
        <v>403</v>
      </c>
      <c r="H245" s="6" t="s">
        <v>398</v>
      </c>
      <c r="I245" s="7">
        <v>2020051290055</v>
      </c>
      <c r="J245" s="6">
        <v>4</v>
      </c>
      <c r="K245" s="6">
        <v>2624</v>
      </c>
      <c r="L245" s="6" t="s">
        <v>407</v>
      </c>
      <c r="M245" s="6" t="s">
        <v>34</v>
      </c>
      <c r="N245" s="9" t="s">
        <v>35</v>
      </c>
      <c r="O245" s="6" t="s">
        <v>682</v>
      </c>
      <c r="P245" s="6" t="s">
        <v>52</v>
      </c>
      <c r="Q245" s="6">
        <v>2</v>
      </c>
      <c r="R245" s="21">
        <f t="shared" si="5"/>
        <v>17901734</v>
      </c>
      <c r="S245" s="21">
        <v>0</v>
      </c>
      <c r="T245" s="16">
        <v>0</v>
      </c>
      <c r="U245" s="16">
        <v>0</v>
      </c>
      <c r="V245" s="20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f>25949734-8048000</f>
        <v>17901734</v>
      </c>
      <c r="AE245" s="16">
        <v>0</v>
      </c>
      <c r="AF245" s="16">
        <v>0</v>
      </c>
      <c r="AG245" s="16">
        <v>0</v>
      </c>
    </row>
    <row r="246" spans="1:33" ht="45" customHeight="1" x14ac:dyDescent="0.2">
      <c r="A246" s="13">
        <v>3</v>
      </c>
      <c r="B246" s="13" t="s">
        <v>408</v>
      </c>
      <c r="C246" s="13">
        <v>1</v>
      </c>
      <c r="D246" s="13" t="s">
        <v>409</v>
      </c>
      <c r="E246" s="13" t="s">
        <v>410</v>
      </c>
      <c r="F246" s="13" t="s">
        <v>411</v>
      </c>
      <c r="G246" s="13" t="s">
        <v>412</v>
      </c>
      <c r="H246" s="13" t="s">
        <v>413</v>
      </c>
      <c r="I246" s="14">
        <v>2020051290047</v>
      </c>
      <c r="J246" s="13">
        <v>5</v>
      </c>
      <c r="K246" s="13">
        <v>3135</v>
      </c>
      <c r="L246" s="13" t="s">
        <v>414</v>
      </c>
      <c r="M246" s="13" t="s">
        <v>34</v>
      </c>
      <c r="N246" s="15" t="s">
        <v>35</v>
      </c>
      <c r="O246" s="6" t="s">
        <v>677</v>
      </c>
      <c r="P246" s="13" t="s">
        <v>37</v>
      </c>
      <c r="Q246" s="13">
        <v>1</v>
      </c>
      <c r="R246" s="21">
        <f t="shared" si="5"/>
        <v>56020739</v>
      </c>
      <c r="S246" s="21">
        <v>0</v>
      </c>
      <c r="T246" s="20">
        <v>0</v>
      </c>
      <c r="U246" s="20">
        <v>0</v>
      </c>
      <c r="V246" s="20">
        <v>0</v>
      </c>
      <c r="W246" s="21">
        <v>56020739</v>
      </c>
      <c r="X246" s="21">
        <v>0</v>
      </c>
      <c r="Y246" s="21">
        <v>0</v>
      </c>
      <c r="Z246" s="21">
        <v>0</v>
      </c>
      <c r="AA246" s="21">
        <v>0</v>
      </c>
      <c r="AB246" s="21">
        <v>0</v>
      </c>
      <c r="AC246" s="21">
        <v>0</v>
      </c>
      <c r="AD246" s="21">
        <v>0</v>
      </c>
      <c r="AE246" s="21">
        <v>0</v>
      </c>
      <c r="AF246" s="21">
        <v>0</v>
      </c>
      <c r="AG246" s="20">
        <v>0</v>
      </c>
    </row>
    <row r="247" spans="1:33" ht="45" customHeight="1" x14ac:dyDescent="0.2">
      <c r="A247" s="6">
        <v>3</v>
      </c>
      <c r="B247" s="6" t="s">
        <v>408</v>
      </c>
      <c r="C247" s="6">
        <v>1</v>
      </c>
      <c r="D247" s="6" t="s">
        <v>409</v>
      </c>
      <c r="E247" s="6" t="s">
        <v>410</v>
      </c>
      <c r="F247" s="6" t="s">
        <v>415</v>
      </c>
      <c r="G247" s="6" t="s">
        <v>416</v>
      </c>
      <c r="H247" s="6" t="s">
        <v>667</v>
      </c>
      <c r="I247" s="10">
        <v>2020051290011</v>
      </c>
      <c r="J247" s="6">
        <v>2</v>
      </c>
      <c r="K247" s="6">
        <v>3122</v>
      </c>
      <c r="L247" s="6" t="s">
        <v>417</v>
      </c>
      <c r="M247" s="6" t="s">
        <v>34</v>
      </c>
      <c r="N247" s="9" t="s">
        <v>35</v>
      </c>
      <c r="O247" s="6" t="s">
        <v>204</v>
      </c>
      <c r="P247" s="6" t="s">
        <v>52</v>
      </c>
      <c r="Q247" s="6">
        <v>1</v>
      </c>
      <c r="R247" s="21">
        <f t="shared" si="5"/>
        <v>72612076</v>
      </c>
      <c r="S247" s="21">
        <v>0</v>
      </c>
      <c r="T247" s="20">
        <v>0</v>
      </c>
      <c r="U247" s="20">
        <v>0</v>
      </c>
      <c r="V247" s="20">
        <v>0</v>
      </c>
      <c r="W247" s="20">
        <v>0</v>
      </c>
      <c r="X247" s="20">
        <v>0</v>
      </c>
      <c r="Y247" s="20">
        <v>0</v>
      </c>
      <c r="Z247" s="20">
        <v>0</v>
      </c>
      <c r="AA247" s="20">
        <v>0</v>
      </c>
      <c r="AB247" s="20">
        <v>0</v>
      </c>
      <c r="AC247" s="20">
        <v>0</v>
      </c>
      <c r="AD247" s="8">
        <f>22612076+50000000</f>
        <v>72612076</v>
      </c>
      <c r="AE247" s="20">
        <v>0</v>
      </c>
      <c r="AF247" s="20">
        <v>0</v>
      </c>
      <c r="AG247" s="20">
        <v>0</v>
      </c>
    </row>
    <row r="248" spans="1:33" ht="45" customHeight="1" x14ac:dyDescent="0.2">
      <c r="A248" s="6">
        <v>3</v>
      </c>
      <c r="B248" s="6" t="s">
        <v>408</v>
      </c>
      <c r="C248" s="6">
        <v>1</v>
      </c>
      <c r="D248" s="6" t="s">
        <v>409</v>
      </c>
      <c r="E248" s="6" t="s">
        <v>410</v>
      </c>
      <c r="F248" s="6" t="s">
        <v>418</v>
      </c>
      <c r="G248" s="6" t="s">
        <v>419</v>
      </c>
      <c r="H248" s="6" t="s">
        <v>667</v>
      </c>
      <c r="I248" s="10">
        <v>2020051290007</v>
      </c>
      <c r="J248" s="6">
        <v>2</v>
      </c>
      <c r="K248" s="6">
        <v>3152</v>
      </c>
      <c r="L248" s="6" t="s">
        <v>420</v>
      </c>
      <c r="M248" s="6" t="s">
        <v>34</v>
      </c>
      <c r="N248" s="9" t="s">
        <v>35</v>
      </c>
      <c r="O248" s="6" t="s">
        <v>204</v>
      </c>
      <c r="P248" s="6" t="s">
        <v>37</v>
      </c>
      <c r="Q248" s="6">
        <v>1</v>
      </c>
      <c r="R248" s="21">
        <f t="shared" si="5"/>
        <v>217523816</v>
      </c>
      <c r="S248" s="21">
        <v>0</v>
      </c>
      <c r="T248" s="20">
        <v>0</v>
      </c>
      <c r="U248" s="20"/>
      <c r="V248" s="20"/>
      <c r="W248" s="20">
        <f>44055538+133903125+39565153</f>
        <v>217523816</v>
      </c>
      <c r="X248" s="20">
        <v>0</v>
      </c>
      <c r="Y248" s="20">
        <v>0</v>
      </c>
      <c r="Z248" s="20">
        <v>0</v>
      </c>
      <c r="AA248" s="20">
        <v>0</v>
      </c>
      <c r="AB248" s="20">
        <v>0</v>
      </c>
      <c r="AC248" s="20">
        <v>0</v>
      </c>
      <c r="AD248" s="20">
        <v>0</v>
      </c>
      <c r="AE248" s="20">
        <v>0</v>
      </c>
      <c r="AF248" s="20">
        <v>0</v>
      </c>
      <c r="AG248" s="20">
        <v>0</v>
      </c>
    </row>
    <row r="249" spans="1:33" ht="90" customHeight="1" x14ac:dyDescent="0.2">
      <c r="A249" s="6">
        <v>3</v>
      </c>
      <c r="B249" s="6" t="s">
        <v>408</v>
      </c>
      <c r="C249" s="6">
        <v>1</v>
      </c>
      <c r="D249" s="6" t="s">
        <v>409</v>
      </c>
      <c r="E249" s="6" t="s">
        <v>410</v>
      </c>
      <c r="F249" s="6" t="s">
        <v>418</v>
      </c>
      <c r="G249" s="6" t="s">
        <v>419</v>
      </c>
      <c r="H249" s="6" t="s">
        <v>667</v>
      </c>
      <c r="I249" s="10">
        <v>2020051290007</v>
      </c>
      <c r="J249" s="6">
        <v>3</v>
      </c>
      <c r="K249" s="6">
        <v>3153</v>
      </c>
      <c r="L249" s="6" t="s">
        <v>421</v>
      </c>
      <c r="M249" s="6" t="s">
        <v>34</v>
      </c>
      <c r="N249" s="9" t="s">
        <v>35</v>
      </c>
      <c r="O249" s="6" t="s">
        <v>204</v>
      </c>
      <c r="P249" s="6" t="s">
        <v>37</v>
      </c>
      <c r="Q249" s="6">
        <v>1</v>
      </c>
      <c r="R249" s="21">
        <f t="shared" si="5"/>
        <v>204133504</v>
      </c>
      <c r="S249" s="21">
        <v>0</v>
      </c>
      <c r="T249" s="20">
        <v>0</v>
      </c>
      <c r="U249" s="20"/>
      <c r="V249" s="20"/>
      <c r="W249" s="20">
        <f>44055538+120512813+39565153</f>
        <v>204133504</v>
      </c>
      <c r="X249" s="20">
        <v>0</v>
      </c>
      <c r="Y249" s="20">
        <v>0</v>
      </c>
      <c r="Z249" s="20">
        <v>0</v>
      </c>
      <c r="AA249" s="20">
        <v>0</v>
      </c>
      <c r="AB249" s="20">
        <v>0</v>
      </c>
      <c r="AC249" s="20">
        <v>0</v>
      </c>
      <c r="AD249" s="20">
        <v>0</v>
      </c>
      <c r="AE249" s="20">
        <v>0</v>
      </c>
      <c r="AF249" s="20">
        <v>0</v>
      </c>
      <c r="AG249" s="20">
        <v>0</v>
      </c>
    </row>
    <row r="250" spans="1:33" ht="75" customHeight="1" x14ac:dyDescent="0.2">
      <c r="A250" s="6">
        <v>3</v>
      </c>
      <c r="B250" s="6" t="s">
        <v>408</v>
      </c>
      <c r="C250" s="6">
        <v>1</v>
      </c>
      <c r="D250" s="6" t="s">
        <v>409</v>
      </c>
      <c r="E250" s="6" t="s">
        <v>410</v>
      </c>
      <c r="F250" s="6" t="s">
        <v>415</v>
      </c>
      <c r="G250" s="6" t="s">
        <v>416</v>
      </c>
      <c r="H250" s="6" t="s">
        <v>667</v>
      </c>
      <c r="I250" s="10">
        <v>2020051290011</v>
      </c>
      <c r="J250" s="6">
        <v>3</v>
      </c>
      <c r="K250" s="6">
        <v>3123</v>
      </c>
      <c r="L250" s="28" t="s">
        <v>423</v>
      </c>
      <c r="M250" s="6" t="s">
        <v>34</v>
      </c>
      <c r="N250" s="9" t="s">
        <v>35</v>
      </c>
      <c r="O250" s="6" t="s">
        <v>422</v>
      </c>
      <c r="P250" s="6" t="s">
        <v>37</v>
      </c>
      <c r="Q250" s="6">
        <v>40</v>
      </c>
      <c r="R250" s="21">
        <f t="shared" si="5"/>
        <v>5580156</v>
      </c>
      <c r="S250" s="21">
        <v>0</v>
      </c>
      <c r="T250" s="20">
        <v>0</v>
      </c>
      <c r="U250" s="20">
        <v>0</v>
      </c>
      <c r="V250" s="20">
        <v>0</v>
      </c>
      <c r="W250" s="20">
        <f>50400000-44819844</f>
        <v>5580156</v>
      </c>
      <c r="X250" s="20">
        <v>0</v>
      </c>
      <c r="Y250" s="20">
        <v>0</v>
      </c>
      <c r="Z250" s="20">
        <v>0</v>
      </c>
      <c r="AA250" s="20">
        <v>0</v>
      </c>
      <c r="AB250" s="20">
        <v>0</v>
      </c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</row>
    <row r="251" spans="1:33" ht="75" customHeight="1" x14ac:dyDescent="0.2">
      <c r="A251" s="6">
        <v>3</v>
      </c>
      <c r="B251" s="6" t="s">
        <v>408</v>
      </c>
      <c r="C251" s="6">
        <v>1</v>
      </c>
      <c r="D251" s="6" t="s">
        <v>409</v>
      </c>
      <c r="E251" s="6" t="s">
        <v>410</v>
      </c>
      <c r="F251" s="6" t="s">
        <v>411</v>
      </c>
      <c r="G251" s="6" t="s">
        <v>412</v>
      </c>
      <c r="H251" s="6" t="s">
        <v>424</v>
      </c>
      <c r="I251" s="10">
        <v>2020051290064</v>
      </c>
      <c r="J251" s="6">
        <v>1</v>
      </c>
      <c r="K251" s="6">
        <v>3131</v>
      </c>
      <c r="L251" s="28" t="s">
        <v>425</v>
      </c>
      <c r="M251" s="6" t="s">
        <v>34</v>
      </c>
      <c r="N251" s="9" t="s">
        <v>60</v>
      </c>
      <c r="O251" s="6" t="s">
        <v>422</v>
      </c>
      <c r="P251" s="6" t="s">
        <v>37</v>
      </c>
      <c r="Q251" s="6">
        <v>1</v>
      </c>
      <c r="R251" s="21">
        <f t="shared" si="5"/>
        <v>34477654</v>
      </c>
      <c r="S251" s="21">
        <v>0</v>
      </c>
      <c r="T251" s="20">
        <v>0</v>
      </c>
      <c r="U251" s="20">
        <v>0</v>
      </c>
      <c r="V251" s="20">
        <v>0</v>
      </c>
      <c r="W251" s="20">
        <f>79297498-44819844</f>
        <v>34477654</v>
      </c>
      <c r="X251" s="20">
        <v>0</v>
      </c>
      <c r="Y251" s="20">
        <v>0</v>
      </c>
      <c r="Z251" s="20">
        <v>0</v>
      </c>
      <c r="AA251" s="20">
        <v>0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</row>
    <row r="252" spans="1:33" ht="68.25" customHeight="1" x14ac:dyDescent="0.2">
      <c r="A252" s="6">
        <v>3</v>
      </c>
      <c r="B252" s="6" t="s">
        <v>408</v>
      </c>
      <c r="C252" s="6">
        <v>1</v>
      </c>
      <c r="D252" s="6" t="s">
        <v>409</v>
      </c>
      <c r="E252" s="6" t="s">
        <v>410</v>
      </c>
      <c r="F252" s="6" t="s">
        <v>411</v>
      </c>
      <c r="G252" s="6" t="s">
        <v>412</v>
      </c>
      <c r="H252" s="6" t="s">
        <v>424</v>
      </c>
      <c r="I252" s="10">
        <v>2020051290064</v>
      </c>
      <c r="J252" s="6">
        <v>2</v>
      </c>
      <c r="K252" s="6">
        <v>3132</v>
      </c>
      <c r="L252" s="28" t="s">
        <v>426</v>
      </c>
      <c r="M252" s="6" t="s">
        <v>34</v>
      </c>
      <c r="N252" s="9" t="s">
        <v>35</v>
      </c>
      <c r="O252" s="6" t="s">
        <v>422</v>
      </c>
      <c r="P252" s="6" t="s">
        <v>37</v>
      </c>
      <c r="Q252" s="6">
        <v>1</v>
      </c>
      <c r="R252" s="21">
        <f t="shared" si="5"/>
        <v>27680156</v>
      </c>
      <c r="S252" s="21">
        <v>0</v>
      </c>
      <c r="T252" s="20">
        <v>0</v>
      </c>
      <c r="U252" s="20">
        <v>0</v>
      </c>
      <c r="V252" s="20">
        <v>0</v>
      </c>
      <c r="W252" s="20">
        <f>72500000-44819844</f>
        <v>27680156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</row>
    <row r="253" spans="1:33" s="34" customFormat="1" ht="45" customHeight="1" x14ac:dyDescent="0.2">
      <c r="A253" s="28">
        <v>3</v>
      </c>
      <c r="B253" s="28" t="s">
        <v>408</v>
      </c>
      <c r="C253" s="28">
        <v>1</v>
      </c>
      <c r="D253" s="28" t="s">
        <v>409</v>
      </c>
      <c r="E253" s="28" t="s">
        <v>410</v>
      </c>
      <c r="F253" s="28" t="s">
        <v>411</v>
      </c>
      <c r="G253" s="28" t="s">
        <v>412</v>
      </c>
      <c r="H253" s="28" t="s">
        <v>424</v>
      </c>
      <c r="I253" s="29">
        <v>2020051290064</v>
      </c>
      <c r="J253" s="28">
        <v>4</v>
      </c>
      <c r="K253" s="28">
        <v>3134</v>
      </c>
      <c r="L253" s="28" t="s">
        <v>427</v>
      </c>
      <c r="M253" s="28" t="s">
        <v>34</v>
      </c>
      <c r="N253" s="31" t="s">
        <v>35</v>
      </c>
      <c r="O253" s="28" t="s">
        <v>422</v>
      </c>
      <c r="P253" s="28" t="s">
        <v>37</v>
      </c>
      <c r="Q253" s="28">
        <v>1</v>
      </c>
      <c r="R253" s="21">
        <f t="shared" si="5"/>
        <v>-34819844</v>
      </c>
      <c r="S253" s="21">
        <v>0</v>
      </c>
      <c r="T253" s="32">
        <v>0</v>
      </c>
      <c r="U253" s="32">
        <v>0</v>
      </c>
      <c r="V253" s="32">
        <v>0</v>
      </c>
      <c r="W253" s="32">
        <f>10000000-44819844</f>
        <v>-34819844</v>
      </c>
      <c r="X253" s="32">
        <v>0</v>
      </c>
      <c r="Y253" s="32">
        <v>0</v>
      </c>
      <c r="Z253" s="32">
        <v>0</v>
      </c>
      <c r="AA253" s="32">
        <v>0</v>
      </c>
      <c r="AB253" s="32">
        <v>0</v>
      </c>
      <c r="AC253" s="32">
        <v>0</v>
      </c>
      <c r="AD253" s="32">
        <v>0</v>
      </c>
      <c r="AE253" s="32">
        <v>0</v>
      </c>
      <c r="AF253" s="32">
        <v>0</v>
      </c>
      <c r="AG253" s="32">
        <v>0</v>
      </c>
    </row>
    <row r="254" spans="1:33" ht="45" customHeight="1" x14ac:dyDescent="0.2">
      <c r="A254" s="6">
        <v>3</v>
      </c>
      <c r="B254" s="6" t="s">
        <v>408</v>
      </c>
      <c r="C254" s="6">
        <v>1</v>
      </c>
      <c r="D254" s="6" t="s">
        <v>409</v>
      </c>
      <c r="E254" s="6" t="s">
        <v>410</v>
      </c>
      <c r="F254" s="6" t="s">
        <v>411</v>
      </c>
      <c r="G254" s="6" t="s">
        <v>412</v>
      </c>
      <c r="H254" s="6" t="s">
        <v>424</v>
      </c>
      <c r="I254" s="10">
        <v>2020051290064</v>
      </c>
      <c r="J254" s="6">
        <v>6</v>
      </c>
      <c r="K254" s="6">
        <v>3136</v>
      </c>
      <c r="L254" s="28" t="s">
        <v>428</v>
      </c>
      <c r="M254" s="6" t="s">
        <v>34</v>
      </c>
      <c r="N254" s="9" t="s">
        <v>35</v>
      </c>
      <c r="O254" s="6" t="s">
        <v>422</v>
      </c>
      <c r="P254" s="6" t="s">
        <v>37</v>
      </c>
      <c r="Q254" s="6">
        <v>1</v>
      </c>
      <c r="R254" s="21">
        <f t="shared" si="5"/>
        <v>36500000</v>
      </c>
      <c r="S254" s="21">
        <v>0</v>
      </c>
      <c r="T254" s="20">
        <v>0</v>
      </c>
      <c r="U254" s="20">
        <v>0</v>
      </c>
      <c r="V254" s="20">
        <v>0</v>
      </c>
      <c r="W254" s="20">
        <v>36500000</v>
      </c>
      <c r="X254" s="20">
        <v>0</v>
      </c>
      <c r="Y254" s="20">
        <v>0</v>
      </c>
      <c r="Z254" s="20">
        <v>0</v>
      </c>
      <c r="AA254" s="20">
        <v>0</v>
      </c>
      <c r="AB254" s="20">
        <v>0</v>
      </c>
      <c r="AC254" s="20">
        <v>0</v>
      </c>
      <c r="AD254" s="20">
        <v>0</v>
      </c>
      <c r="AE254" s="20">
        <v>0</v>
      </c>
      <c r="AF254" s="20">
        <v>0</v>
      </c>
      <c r="AG254" s="20">
        <v>0</v>
      </c>
    </row>
    <row r="255" spans="1:33" ht="45" customHeight="1" x14ac:dyDescent="0.2">
      <c r="A255" s="6">
        <v>3</v>
      </c>
      <c r="B255" s="6" t="s">
        <v>408</v>
      </c>
      <c r="C255" s="6">
        <v>1</v>
      </c>
      <c r="D255" s="6" t="s">
        <v>409</v>
      </c>
      <c r="E255" s="6" t="s">
        <v>410</v>
      </c>
      <c r="F255" s="6" t="s">
        <v>429</v>
      </c>
      <c r="G255" s="6" t="s">
        <v>430</v>
      </c>
      <c r="H255" s="6" t="s">
        <v>431</v>
      </c>
      <c r="I255" s="10">
        <v>2020051290065</v>
      </c>
      <c r="J255" s="6">
        <v>1</v>
      </c>
      <c r="K255" s="6">
        <v>3141</v>
      </c>
      <c r="L255" s="28" t="s">
        <v>432</v>
      </c>
      <c r="M255" s="6" t="s">
        <v>34</v>
      </c>
      <c r="N255" s="9" t="s">
        <v>35</v>
      </c>
      <c r="O255" s="6" t="s">
        <v>422</v>
      </c>
      <c r="P255" s="6" t="s">
        <v>37</v>
      </c>
      <c r="Q255" s="6">
        <v>1</v>
      </c>
      <c r="R255" s="21">
        <f t="shared" si="5"/>
        <v>51810924</v>
      </c>
      <c r="S255" s="21">
        <v>0</v>
      </c>
      <c r="T255" s="20">
        <v>0</v>
      </c>
      <c r="U255" s="20">
        <v>0</v>
      </c>
      <c r="V255" s="20">
        <v>0</v>
      </c>
      <c r="W255" s="8">
        <f>96630768-44819844</f>
        <v>51810924</v>
      </c>
      <c r="X255" s="20">
        <v>0</v>
      </c>
      <c r="Y255" s="20">
        <v>0</v>
      </c>
      <c r="Z255" s="20">
        <v>0</v>
      </c>
      <c r="AA255" s="20">
        <v>0</v>
      </c>
      <c r="AB255" s="20">
        <v>0</v>
      </c>
      <c r="AC255" s="20">
        <v>0</v>
      </c>
      <c r="AD255" s="20">
        <v>0</v>
      </c>
      <c r="AE255" s="20">
        <v>0</v>
      </c>
      <c r="AF255" s="20">
        <v>0</v>
      </c>
      <c r="AG255" s="20">
        <v>0</v>
      </c>
    </row>
    <row r="256" spans="1:33" ht="45" customHeight="1" x14ac:dyDescent="0.2">
      <c r="A256" s="6">
        <v>3</v>
      </c>
      <c r="B256" s="6" t="s">
        <v>408</v>
      </c>
      <c r="C256" s="6">
        <v>1</v>
      </c>
      <c r="D256" s="6" t="s">
        <v>409</v>
      </c>
      <c r="E256" s="6" t="s">
        <v>410</v>
      </c>
      <c r="F256" s="6" t="s">
        <v>429</v>
      </c>
      <c r="G256" s="6" t="s">
        <v>430</v>
      </c>
      <c r="H256" s="6" t="s">
        <v>431</v>
      </c>
      <c r="I256" s="10">
        <v>2020051290065</v>
      </c>
      <c r="J256" s="6">
        <v>1</v>
      </c>
      <c r="K256" s="6">
        <v>3141</v>
      </c>
      <c r="L256" s="28" t="s">
        <v>432</v>
      </c>
      <c r="M256" s="6" t="s">
        <v>34</v>
      </c>
      <c r="N256" s="9" t="s">
        <v>35</v>
      </c>
      <c r="O256" s="6" t="s">
        <v>422</v>
      </c>
      <c r="P256" s="6" t="s">
        <v>52</v>
      </c>
      <c r="Q256" s="6">
        <v>1</v>
      </c>
      <c r="R256" s="21">
        <f t="shared" si="5"/>
        <v>28369232</v>
      </c>
      <c r="S256" s="21">
        <v>0</v>
      </c>
      <c r="T256" s="20">
        <v>0</v>
      </c>
      <c r="U256" s="20">
        <v>0</v>
      </c>
      <c r="V256" s="20">
        <v>0</v>
      </c>
      <c r="W256" s="20">
        <v>0</v>
      </c>
      <c r="X256" s="20">
        <v>0</v>
      </c>
      <c r="Y256" s="20">
        <v>0</v>
      </c>
      <c r="Z256" s="20">
        <v>0</v>
      </c>
      <c r="AA256" s="20">
        <v>0</v>
      </c>
      <c r="AB256" s="20">
        <v>0</v>
      </c>
      <c r="AC256" s="20">
        <v>0</v>
      </c>
      <c r="AD256" s="8">
        <v>28369232</v>
      </c>
      <c r="AE256" s="20">
        <v>0</v>
      </c>
      <c r="AF256" s="20">
        <v>0</v>
      </c>
      <c r="AG256" s="20">
        <v>0</v>
      </c>
    </row>
    <row r="257" spans="1:33" ht="45" customHeight="1" x14ac:dyDescent="0.2">
      <c r="A257" s="6">
        <v>3</v>
      </c>
      <c r="B257" s="6" t="s">
        <v>408</v>
      </c>
      <c r="C257" s="6">
        <v>1</v>
      </c>
      <c r="D257" s="6" t="s">
        <v>409</v>
      </c>
      <c r="E257" s="6" t="s">
        <v>410</v>
      </c>
      <c r="F257" s="6" t="s">
        <v>429</v>
      </c>
      <c r="G257" s="6" t="s">
        <v>430</v>
      </c>
      <c r="H257" s="6" t="s">
        <v>431</v>
      </c>
      <c r="I257" s="10">
        <v>2020051290065</v>
      </c>
      <c r="J257" s="6">
        <v>2</v>
      </c>
      <c r="K257" s="6">
        <v>3142</v>
      </c>
      <c r="L257" s="28" t="s">
        <v>433</v>
      </c>
      <c r="M257" s="6" t="s">
        <v>34</v>
      </c>
      <c r="N257" s="9" t="s">
        <v>35</v>
      </c>
      <c r="O257" s="6" t="s">
        <v>422</v>
      </c>
      <c r="P257" s="6" t="s">
        <v>37</v>
      </c>
      <c r="Q257" s="6">
        <v>1</v>
      </c>
      <c r="R257" s="21">
        <f t="shared" si="5"/>
        <v>38710499</v>
      </c>
      <c r="S257" s="21">
        <v>0</v>
      </c>
      <c r="T257" s="20">
        <v>0</v>
      </c>
      <c r="U257" s="20">
        <v>0</v>
      </c>
      <c r="V257" s="20">
        <v>0</v>
      </c>
      <c r="W257" s="20">
        <v>38710499</v>
      </c>
      <c r="X257" s="20">
        <v>0</v>
      </c>
      <c r="Y257" s="20">
        <v>0</v>
      </c>
      <c r="Z257" s="20">
        <v>0</v>
      </c>
      <c r="AA257" s="20">
        <v>0</v>
      </c>
      <c r="AB257" s="20">
        <v>0</v>
      </c>
      <c r="AC257" s="20">
        <v>0</v>
      </c>
      <c r="AD257" s="20">
        <v>0</v>
      </c>
      <c r="AE257" s="20">
        <v>0</v>
      </c>
      <c r="AF257" s="20">
        <v>0</v>
      </c>
      <c r="AG257" s="20">
        <v>0</v>
      </c>
    </row>
    <row r="258" spans="1:33" ht="45" customHeight="1" x14ac:dyDescent="0.2">
      <c r="A258" s="6">
        <v>3</v>
      </c>
      <c r="B258" s="6" t="s">
        <v>408</v>
      </c>
      <c r="C258" s="6">
        <v>1</v>
      </c>
      <c r="D258" s="6" t="s">
        <v>409</v>
      </c>
      <c r="E258" s="6" t="s">
        <v>410</v>
      </c>
      <c r="F258" s="6" t="s">
        <v>429</v>
      </c>
      <c r="G258" s="6" t="s">
        <v>430</v>
      </c>
      <c r="H258" s="6" t="s">
        <v>431</v>
      </c>
      <c r="I258" s="10">
        <v>2020051290065</v>
      </c>
      <c r="J258" s="6">
        <v>3</v>
      </c>
      <c r="K258" s="6">
        <v>3143</v>
      </c>
      <c r="L258" s="28" t="s">
        <v>434</v>
      </c>
      <c r="M258" s="6" t="s">
        <v>34</v>
      </c>
      <c r="N258" s="9" t="s">
        <v>35</v>
      </c>
      <c r="O258" s="6" t="s">
        <v>422</v>
      </c>
      <c r="P258" s="6" t="s">
        <v>37</v>
      </c>
      <c r="Q258" s="6">
        <v>1</v>
      </c>
      <c r="R258" s="21">
        <f t="shared" si="5"/>
        <v>35180156</v>
      </c>
      <c r="S258" s="21">
        <v>0</v>
      </c>
      <c r="T258" s="20">
        <v>0</v>
      </c>
      <c r="U258" s="20">
        <v>0</v>
      </c>
      <c r="V258" s="20">
        <v>0</v>
      </c>
      <c r="W258" s="20">
        <f>100000000-64819844</f>
        <v>35180156</v>
      </c>
      <c r="X258" s="20">
        <v>0</v>
      </c>
      <c r="Y258" s="20">
        <v>0</v>
      </c>
      <c r="Z258" s="20">
        <v>0</v>
      </c>
      <c r="AA258" s="20">
        <v>0</v>
      </c>
      <c r="AB258" s="20">
        <v>0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</row>
    <row r="259" spans="1:33" ht="45" customHeight="1" x14ac:dyDescent="0.2">
      <c r="A259" s="6">
        <v>3</v>
      </c>
      <c r="B259" s="6" t="s">
        <v>408</v>
      </c>
      <c r="C259" s="6">
        <v>1</v>
      </c>
      <c r="D259" s="6" t="s">
        <v>409</v>
      </c>
      <c r="E259" s="6" t="s">
        <v>410</v>
      </c>
      <c r="F259" s="6" t="s">
        <v>429</v>
      </c>
      <c r="G259" s="6" t="s">
        <v>430</v>
      </c>
      <c r="H259" s="6" t="s">
        <v>431</v>
      </c>
      <c r="I259" s="10">
        <v>2020051290065</v>
      </c>
      <c r="J259" s="6">
        <v>4</v>
      </c>
      <c r="K259" s="6">
        <v>3144</v>
      </c>
      <c r="L259" s="28" t="s">
        <v>435</v>
      </c>
      <c r="M259" s="6" t="s">
        <v>34</v>
      </c>
      <c r="N259" s="9" t="s">
        <v>35</v>
      </c>
      <c r="O259" s="6" t="s">
        <v>422</v>
      </c>
      <c r="P259" s="6" t="s">
        <v>52</v>
      </c>
      <c r="Q259" s="6">
        <v>1</v>
      </c>
      <c r="R259" s="21">
        <f t="shared" si="5"/>
        <v>17717946.875</v>
      </c>
      <c r="S259" s="21">
        <v>0</v>
      </c>
      <c r="T259" s="20">
        <v>0</v>
      </c>
      <c r="U259" s="20">
        <v>0</v>
      </c>
      <c r="V259" s="20">
        <v>0</v>
      </c>
      <c r="W259" s="20">
        <v>0</v>
      </c>
      <c r="X259" s="20">
        <v>0</v>
      </c>
      <c r="Y259" s="20">
        <v>0</v>
      </c>
      <c r="Z259" s="20">
        <v>0</v>
      </c>
      <c r="AA259" s="20">
        <v>0</v>
      </c>
      <c r="AB259" s="20">
        <v>0</v>
      </c>
      <c r="AC259" s="20">
        <v>0</v>
      </c>
      <c r="AD259" s="8">
        <v>17717946.875</v>
      </c>
      <c r="AE259" s="20">
        <v>0</v>
      </c>
      <c r="AF259" s="20">
        <v>0</v>
      </c>
      <c r="AG259" s="20">
        <v>0</v>
      </c>
    </row>
    <row r="260" spans="1:33" ht="90" customHeight="1" x14ac:dyDescent="0.2">
      <c r="A260" s="6">
        <v>3</v>
      </c>
      <c r="B260" s="6" t="s">
        <v>408</v>
      </c>
      <c r="C260" s="6">
        <v>1</v>
      </c>
      <c r="D260" s="6" t="s">
        <v>409</v>
      </c>
      <c r="E260" s="6" t="s">
        <v>410</v>
      </c>
      <c r="F260" s="6" t="s">
        <v>429</v>
      </c>
      <c r="G260" s="6" t="s">
        <v>430</v>
      </c>
      <c r="H260" s="6" t="s">
        <v>431</v>
      </c>
      <c r="I260" s="10">
        <v>2020051290065</v>
      </c>
      <c r="J260" s="6">
        <v>4</v>
      </c>
      <c r="K260" s="6">
        <v>3144</v>
      </c>
      <c r="L260" s="28" t="s">
        <v>435</v>
      </c>
      <c r="M260" s="6" t="s">
        <v>34</v>
      </c>
      <c r="N260" s="9" t="s">
        <v>35</v>
      </c>
      <c r="O260" s="6" t="s">
        <v>422</v>
      </c>
      <c r="P260" s="6" t="s">
        <v>37</v>
      </c>
      <c r="Q260" s="6">
        <v>1</v>
      </c>
      <c r="R260" s="21">
        <f t="shared" si="5"/>
        <v>49994969</v>
      </c>
      <c r="S260" s="21">
        <v>0</v>
      </c>
      <c r="T260" s="20">
        <v>0</v>
      </c>
      <c r="U260" s="20">
        <v>0</v>
      </c>
      <c r="V260" s="20">
        <v>0</v>
      </c>
      <c r="W260" s="8">
        <f>104814813-54819844</f>
        <v>49994969</v>
      </c>
      <c r="X260" s="20">
        <v>0</v>
      </c>
      <c r="Y260" s="20">
        <v>0</v>
      </c>
      <c r="Z260" s="20">
        <v>0</v>
      </c>
      <c r="AA260" s="20">
        <v>0</v>
      </c>
      <c r="AB260" s="20">
        <v>0</v>
      </c>
      <c r="AC260" s="20">
        <v>0</v>
      </c>
      <c r="AD260" s="20">
        <v>0</v>
      </c>
      <c r="AE260" s="20">
        <v>0</v>
      </c>
      <c r="AF260" s="20">
        <v>0</v>
      </c>
      <c r="AG260" s="20">
        <v>0</v>
      </c>
    </row>
    <row r="261" spans="1:33" ht="45" customHeight="1" x14ac:dyDescent="0.2">
      <c r="A261" s="6">
        <v>3</v>
      </c>
      <c r="B261" s="6" t="s">
        <v>408</v>
      </c>
      <c r="C261" s="6">
        <v>1</v>
      </c>
      <c r="D261" s="6" t="s">
        <v>409</v>
      </c>
      <c r="E261" s="6" t="s">
        <v>410</v>
      </c>
      <c r="F261" s="6" t="s">
        <v>429</v>
      </c>
      <c r="G261" s="6" t="s">
        <v>430</v>
      </c>
      <c r="H261" s="6" t="s">
        <v>431</v>
      </c>
      <c r="I261" s="10">
        <v>2020051290065</v>
      </c>
      <c r="J261" s="6">
        <v>5</v>
      </c>
      <c r="K261" s="6">
        <v>3145</v>
      </c>
      <c r="L261" s="28" t="s">
        <v>436</v>
      </c>
      <c r="M261" s="6" t="s">
        <v>34</v>
      </c>
      <c r="N261" s="9" t="s">
        <v>35</v>
      </c>
      <c r="O261" s="6" t="s">
        <v>422</v>
      </c>
      <c r="P261" s="6" t="s">
        <v>37</v>
      </c>
      <c r="Q261" s="6">
        <v>1</v>
      </c>
      <c r="R261" s="21">
        <f t="shared" si="5"/>
        <v>20000000</v>
      </c>
      <c r="S261" s="21">
        <v>0</v>
      </c>
      <c r="T261" s="20">
        <v>0</v>
      </c>
      <c r="U261" s="20">
        <v>0</v>
      </c>
      <c r="V261" s="20">
        <v>0</v>
      </c>
      <c r="W261" s="8">
        <v>20000000</v>
      </c>
      <c r="X261" s="20">
        <v>0</v>
      </c>
      <c r="Y261" s="20">
        <v>0</v>
      </c>
      <c r="Z261" s="20">
        <v>0</v>
      </c>
      <c r="AA261" s="20">
        <v>0</v>
      </c>
      <c r="AB261" s="20">
        <v>0</v>
      </c>
      <c r="AC261" s="20">
        <v>0</v>
      </c>
      <c r="AD261" s="20">
        <v>0</v>
      </c>
      <c r="AE261" s="20">
        <v>0</v>
      </c>
      <c r="AF261" s="20">
        <v>0</v>
      </c>
      <c r="AG261" s="20">
        <v>0</v>
      </c>
    </row>
    <row r="262" spans="1:33" ht="45" customHeight="1" x14ac:dyDescent="0.2">
      <c r="A262" s="6">
        <v>3</v>
      </c>
      <c r="B262" s="6" t="s">
        <v>408</v>
      </c>
      <c r="C262" s="6">
        <v>1</v>
      </c>
      <c r="D262" s="6" t="s">
        <v>409</v>
      </c>
      <c r="E262" s="6" t="s">
        <v>410</v>
      </c>
      <c r="F262" s="6" t="s">
        <v>429</v>
      </c>
      <c r="G262" s="6" t="s">
        <v>430</v>
      </c>
      <c r="H262" s="6" t="s">
        <v>431</v>
      </c>
      <c r="I262" s="10">
        <v>2020051290065</v>
      </c>
      <c r="J262" s="6">
        <v>6</v>
      </c>
      <c r="K262" s="6">
        <v>3146</v>
      </c>
      <c r="L262" s="28" t="s">
        <v>437</v>
      </c>
      <c r="M262" s="6" t="s">
        <v>34</v>
      </c>
      <c r="N262" s="9" t="s">
        <v>35</v>
      </c>
      <c r="O262" s="6" t="s">
        <v>422</v>
      </c>
      <c r="P262" s="6" t="s">
        <v>37</v>
      </c>
      <c r="Q262" s="6">
        <v>1</v>
      </c>
      <c r="R262" s="21">
        <f t="shared" si="5"/>
        <v>41810924</v>
      </c>
      <c r="S262" s="21">
        <v>0</v>
      </c>
      <c r="T262" s="20">
        <v>0</v>
      </c>
      <c r="U262" s="20">
        <v>0</v>
      </c>
      <c r="V262" s="20">
        <v>0</v>
      </c>
      <c r="W262" s="20">
        <f>86630768-44819844</f>
        <v>41810924</v>
      </c>
      <c r="X262" s="20">
        <v>0</v>
      </c>
      <c r="Y262" s="20">
        <v>0</v>
      </c>
      <c r="Z262" s="20">
        <v>0</v>
      </c>
      <c r="AA262" s="20">
        <v>0</v>
      </c>
      <c r="AB262" s="20">
        <v>0</v>
      </c>
      <c r="AC262" s="20">
        <v>0</v>
      </c>
      <c r="AD262" s="20">
        <v>0</v>
      </c>
      <c r="AE262" s="20">
        <v>0</v>
      </c>
      <c r="AF262" s="20">
        <v>0</v>
      </c>
      <c r="AG262" s="20">
        <v>0</v>
      </c>
    </row>
    <row r="263" spans="1:33" ht="60" customHeight="1" x14ac:dyDescent="0.2">
      <c r="A263" s="6">
        <v>3</v>
      </c>
      <c r="B263" s="6" t="s">
        <v>408</v>
      </c>
      <c r="C263" s="6">
        <v>1</v>
      </c>
      <c r="D263" s="6" t="s">
        <v>409</v>
      </c>
      <c r="E263" s="6" t="s">
        <v>410</v>
      </c>
      <c r="F263" s="6" t="s">
        <v>429</v>
      </c>
      <c r="G263" s="6" t="s">
        <v>430</v>
      </c>
      <c r="H263" s="6" t="s">
        <v>431</v>
      </c>
      <c r="I263" s="10">
        <v>2020051290065</v>
      </c>
      <c r="J263" s="6">
        <v>6</v>
      </c>
      <c r="K263" s="6">
        <v>3146</v>
      </c>
      <c r="L263" s="28" t="s">
        <v>437</v>
      </c>
      <c r="M263" s="6" t="s">
        <v>34</v>
      </c>
      <c r="N263" s="9" t="s">
        <v>35</v>
      </c>
      <c r="O263" s="6" t="s">
        <v>422</v>
      </c>
      <c r="P263" s="6" t="s">
        <v>37</v>
      </c>
      <c r="Q263" s="6">
        <v>1</v>
      </c>
      <c r="R263" s="21">
        <f t="shared" si="5"/>
        <v>36569232</v>
      </c>
      <c r="S263" s="21">
        <v>0</v>
      </c>
      <c r="T263" s="20">
        <v>0</v>
      </c>
      <c r="U263" s="20">
        <v>0</v>
      </c>
      <c r="V263" s="20">
        <v>0</v>
      </c>
      <c r="W263" s="20">
        <v>36569232</v>
      </c>
      <c r="X263" s="20">
        <v>0</v>
      </c>
      <c r="Y263" s="20">
        <v>0</v>
      </c>
      <c r="Z263" s="20">
        <v>0</v>
      </c>
      <c r="AA263" s="20">
        <v>0</v>
      </c>
      <c r="AB263" s="20">
        <v>0</v>
      </c>
      <c r="AC263" s="20">
        <v>0</v>
      </c>
      <c r="AD263" s="20">
        <v>0</v>
      </c>
      <c r="AE263" s="20">
        <v>0</v>
      </c>
      <c r="AF263" s="20">
        <v>0</v>
      </c>
      <c r="AG263" s="20">
        <v>0</v>
      </c>
    </row>
    <row r="264" spans="1:33" ht="63" customHeight="1" x14ac:dyDescent="0.2">
      <c r="A264" s="6">
        <v>3</v>
      </c>
      <c r="B264" s="6" t="s">
        <v>408</v>
      </c>
      <c r="C264" s="6">
        <v>1</v>
      </c>
      <c r="D264" s="6" t="s">
        <v>409</v>
      </c>
      <c r="E264" s="6" t="s">
        <v>410</v>
      </c>
      <c r="F264" s="6" t="s">
        <v>418</v>
      </c>
      <c r="G264" s="6" t="s">
        <v>419</v>
      </c>
      <c r="H264" s="6" t="s">
        <v>672</v>
      </c>
      <c r="I264" s="10">
        <v>2020051290007</v>
      </c>
      <c r="J264" s="6">
        <v>1</v>
      </c>
      <c r="K264" s="6">
        <v>3151</v>
      </c>
      <c r="L264" s="28" t="s">
        <v>438</v>
      </c>
      <c r="M264" s="6" t="s">
        <v>78</v>
      </c>
      <c r="N264" s="9" t="s">
        <v>60</v>
      </c>
      <c r="O264" s="6" t="s">
        <v>422</v>
      </c>
      <c r="P264" s="6" t="s">
        <v>37</v>
      </c>
      <c r="Q264" s="9">
        <v>1</v>
      </c>
      <c r="R264" s="21">
        <f t="shared" si="5"/>
        <v>38750000</v>
      </c>
      <c r="S264" s="21">
        <v>0</v>
      </c>
      <c r="T264" s="20">
        <v>0</v>
      </c>
      <c r="U264" s="20">
        <v>0</v>
      </c>
      <c r="V264" s="20">
        <v>0</v>
      </c>
      <c r="W264" s="20">
        <v>38750000</v>
      </c>
      <c r="X264" s="20">
        <v>0</v>
      </c>
      <c r="Y264" s="20">
        <v>0</v>
      </c>
      <c r="Z264" s="20">
        <v>0</v>
      </c>
      <c r="AA264" s="20">
        <v>0</v>
      </c>
      <c r="AB264" s="20">
        <v>0</v>
      </c>
      <c r="AC264" s="20">
        <v>0</v>
      </c>
      <c r="AD264" s="20">
        <v>0</v>
      </c>
      <c r="AE264" s="20">
        <v>0</v>
      </c>
      <c r="AF264" s="20">
        <v>0</v>
      </c>
      <c r="AG264" s="20">
        <v>0</v>
      </c>
    </row>
    <row r="265" spans="1:33" ht="48" customHeight="1" x14ac:dyDescent="0.2">
      <c r="A265" s="6">
        <v>3</v>
      </c>
      <c r="B265" s="6" t="s">
        <v>408</v>
      </c>
      <c r="C265" s="6">
        <v>2</v>
      </c>
      <c r="D265" s="6" t="s">
        <v>439</v>
      </c>
      <c r="E265" s="6" t="s">
        <v>440</v>
      </c>
      <c r="F265" s="6" t="s">
        <v>441</v>
      </c>
      <c r="G265" s="6" t="s">
        <v>442</v>
      </c>
      <c r="H265" s="6" t="s">
        <v>318</v>
      </c>
      <c r="I265" s="7">
        <v>2020051290050</v>
      </c>
      <c r="J265" s="6">
        <v>4</v>
      </c>
      <c r="K265" s="6">
        <v>3224</v>
      </c>
      <c r="L265" s="6" t="s">
        <v>443</v>
      </c>
      <c r="M265" s="6" t="s">
        <v>34</v>
      </c>
      <c r="N265" s="9" t="s">
        <v>35</v>
      </c>
      <c r="O265" s="6" t="s">
        <v>682</v>
      </c>
      <c r="P265" s="6" t="s">
        <v>37</v>
      </c>
      <c r="Q265" s="6">
        <v>1</v>
      </c>
      <c r="R265" s="21">
        <f t="shared" si="5"/>
        <v>49453863</v>
      </c>
      <c r="S265" s="21">
        <v>0</v>
      </c>
      <c r="T265" s="16">
        <v>0</v>
      </c>
      <c r="U265" s="16">
        <v>0</v>
      </c>
      <c r="V265" s="20">
        <v>0</v>
      </c>
      <c r="W265" s="16">
        <f>35000000+14453863</f>
        <v>49453863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0</v>
      </c>
      <c r="AG265" s="16">
        <v>0</v>
      </c>
    </row>
    <row r="266" spans="1:33" ht="41.25" customHeight="1" x14ac:dyDescent="0.2">
      <c r="A266" s="6">
        <v>3</v>
      </c>
      <c r="B266" s="6" t="s">
        <v>408</v>
      </c>
      <c r="C266" s="6">
        <v>2</v>
      </c>
      <c r="D266" s="6" t="s">
        <v>439</v>
      </c>
      <c r="E266" s="6" t="s">
        <v>440</v>
      </c>
      <c r="F266" s="6" t="s">
        <v>444</v>
      </c>
      <c r="G266" s="6" t="s">
        <v>445</v>
      </c>
      <c r="H266" s="6" t="s">
        <v>668</v>
      </c>
      <c r="I266" s="10">
        <v>2020051290012</v>
      </c>
      <c r="J266" s="6">
        <v>3</v>
      </c>
      <c r="K266" s="6">
        <v>3213</v>
      </c>
      <c r="L266" s="6" t="s">
        <v>446</v>
      </c>
      <c r="M266" s="6" t="s">
        <v>34</v>
      </c>
      <c r="N266" s="9" t="s">
        <v>35</v>
      </c>
      <c r="O266" s="6" t="s">
        <v>204</v>
      </c>
      <c r="P266" s="6" t="s">
        <v>52</v>
      </c>
      <c r="Q266" s="6">
        <v>1</v>
      </c>
      <c r="R266" s="21">
        <f t="shared" si="5"/>
        <v>72612076</v>
      </c>
      <c r="S266" s="21">
        <v>0</v>
      </c>
      <c r="T266" s="20">
        <v>0</v>
      </c>
      <c r="U266" s="20">
        <v>0</v>
      </c>
      <c r="V266" s="20">
        <v>0</v>
      </c>
      <c r="W266" s="20">
        <v>0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  <c r="AC266" s="20">
        <v>0</v>
      </c>
      <c r="AD266" s="20">
        <f>22612076+50000000</f>
        <v>72612076</v>
      </c>
      <c r="AE266" s="20">
        <v>0</v>
      </c>
      <c r="AF266" s="20">
        <v>0</v>
      </c>
      <c r="AG266" s="20">
        <v>0</v>
      </c>
    </row>
    <row r="267" spans="1:33" ht="41.25" customHeight="1" x14ac:dyDescent="0.2">
      <c r="A267" s="6">
        <v>3</v>
      </c>
      <c r="B267" s="6" t="s">
        <v>408</v>
      </c>
      <c r="C267" s="6">
        <v>2</v>
      </c>
      <c r="D267" s="6" t="s">
        <v>439</v>
      </c>
      <c r="E267" s="6" t="s">
        <v>440</v>
      </c>
      <c r="F267" s="6" t="s">
        <v>444</v>
      </c>
      <c r="G267" s="6" t="s">
        <v>445</v>
      </c>
      <c r="H267" s="6" t="s">
        <v>668</v>
      </c>
      <c r="I267" s="10">
        <v>2020051290012</v>
      </c>
      <c r="J267" s="6">
        <v>3</v>
      </c>
      <c r="K267" s="6">
        <v>3213</v>
      </c>
      <c r="L267" s="6" t="s">
        <v>446</v>
      </c>
      <c r="M267" s="6" t="s">
        <v>34</v>
      </c>
      <c r="N267" s="9" t="s">
        <v>35</v>
      </c>
      <c r="O267" s="6" t="s">
        <v>204</v>
      </c>
      <c r="P267" s="6" t="s">
        <v>52</v>
      </c>
      <c r="Q267" s="6">
        <v>1</v>
      </c>
      <c r="R267" s="21">
        <f t="shared" si="5"/>
        <v>72612076</v>
      </c>
      <c r="S267" s="21">
        <v>0</v>
      </c>
      <c r="T267" s="20">
        <v>0</v>
      </c>
      <c r="U267" s="20">
        <v>0</v>
      </c>
      <c r="V267" s="20">
        <v>0</v>
      </c>
      <c r="W267" s="20">
        <v>0</v>
      </c>
      <c r="X267" s="20">
        <v>0</v>
      </c>
      <c r="Y267" s="20">
        <v>0</v>
      </c>
      <c r="Z267" s="20">
        <v>0</v>
      </c>
      <c r="AA267" s="20">
        <v>0</v>
      </c>
      <c r="AB267" s="20">
        <v>0</v>
      </c>
      <c r="AC267" s="20">
        <v>0</v>
      </c>
      <c r="AD267" s="8">
        <f>22612076+50000000</f>
        <v>72612076</v>
      </c>
      <c r="AE267" s="20">
        <v>0</v>
      </c>
      <c r="AF267" s="20">
        <v>0</v>
      </c>
      <c r="AG267" s="20">
        <v>0</v>
      </c>
    </row>
    <row r="268" spans="1:33" ht="45" customHeight="1" x14ac:dyDescent="0.2">
      <c r="A268" s="6">
        <v>3</v>
      </c>
      <c r="B268" s="6" t="s">
        <v>408</v>
      </c>
      <c r="C268" s="6">
        <v>2</v>
      </c>
      <c r="D268" s="6" t="s">
        <v>439</v>
      </c>
      <c r="E268" s="6" t="s">
        <v>440</v>
      </c>
      <c r="F268" s="6" t="s">
        <v>444</v>
      </c>
      <c r="G268" s="6" t="s">
        <v>445</v>
      </c>
      <c r="H268" s="6" t="s">
        <v>669</v>
      </c>
      <c r="I268" s="10">
        <v>2020051290014</v>
      </c>
      <c r="J268" s="6">
        <v>4</v>
      </c>
      <c r="K268" s="6">
        <v>3214</v>
      </c>
      <c r="L268" s="6" t="s">
        <v>447</v>
      </c>
      <c r="M268" s="6" t="s">
        <v>34</v>
      </c>
      <c r="N268" s="9" t="s">
        <v>35</v>
      </c>
      <c r="O268" s="6" t="s">
        <v>204</v>
      </c>
      <c r="P268" s="6" t="s">
        <v>52</v>
      </c>
      <c r="Q268" s="6">
        <v>1</v>
      </c>
      <c r="R268" s="21">
        <f t="shared" si="5"/>
        <v>112612076</v>
      </c>
      <c r="S268" s="21">
        <v>0</v>
      </c>
      <c r="T268" s="20">
        <v>0</v>
      </c>
      <c r="U268" s="20">
        <v>0</v>
      </c>
      <c r="V268" s="20">
        <v>0</v>
      </c>
      <c r="W268" s="20">
        <v>0</v>
      </c>
      <c r="X268" s="20">
        <v>0</v>
      </c>
      <c r="Y268" s="20">
        <v>0</v>
      </c>
      <c r="Z268" s="20">
        <v>0</v>
      </c>
      <c r="AA268" s="20">
        <v>0</v>
      </c>
      <c r="AB268" s="20">
        <v>0</v>
      </c>
      <c r="AC268" s="20">
        <v>0</v>
      </c>
      <c r="AD268" s="8">
        <f>22612076+90000000</f>
        <v>112612076</v>
      </c>
      <c r="AE268" s="20">
        <v>0</v>
      </c>
      <c r="AF268" s="20">
        <v>0</v>
      </c>
      <c r="AG268" s="20">
        <v>0</v>
      </c>
    </row>
    <row r="269" spans="1:33" ht="63" customHeight="1" x14ac:dyDescent="0.2">
      <c r="A269" s="6">
        <v>3</v>
      </c>
      <c r="B269" s="6" t="s">
        <v>408</v>
      </c>
      <c r="C269" s="6">
        <v>2</v>
      </c>
      <c r="D269" s="6" t="s">
        <v>439</v>
      </c>
      <c r="E269" s="6" t="s">
        <v>440</v>
      </c>
      <c r="F269" s="6" t="s">
        <v>444</v>
      </c>
      <c r="G269" s="6" t="s">
        <v>445</v>
      </c>
      <c r="H269" s="6" t="s">
        <v>448</v>
      </c>
      <c r="I269" s="10">
        <v>2020051290066</v>
      </c>
      <c r="J269" s="6">
        <v>1</v>
      </c>
      <c r="K269" s="6">
        <v>3211</v>
      </c>
      <c r="L269" s="28" t="s">
        <v>449</v>
      </c>
      <c r="M269" s="6" t="s">
        <v>34</v>
      </c>
      <c r="N269" s="9" t="s">
        <v>35</v>
      </c>
      <c r="O269" s="6" t="s">
        <v>422</v>
      </c>
      <c r="P269" s="6" t="s">
        <v>37</v>
      </c>
      <c r="Q269" s="6">
        <v>1</v>
      </c>
      <c r="R269" s="21">
        <f t="shared" si="5"/>
        <v>30000000</v>
      </c>
      <c r="S269" s="21">
        <v>0</v>
      </c>
      <c r="T269" s="20">
        <v>0</v>
      </c>
      <c r="U269" s="20">
        <v>0</v>
      </c>
      <c r="V269" s="20">
        <v>0</v>
      </c>
      <c r="W269" s="20">
        <v>30000000</v>
      </c>
      <c r="X269" s="20">
        <v>0</v>
      </c>
      <c r="Y269" s="20">
        <v>0</v>
      </c>
      <c r="Z269" s="20">
        <v>0</v>
      </c>
      <c r="AA269" s="20">
        <v>0</v>
      </c>
      <c r="AB269" s="20">
        <v>0</v>
      </c>
      <c r="AC269" s="20">
        <v>0</v>
      </c>
      <c r="AD269" s="20">
        <v>0</v>
      </c>
      <c r="AE269" s="20">
        <v>0</v>
      </c>
      <c r="AF269" s="20">
        <v>0</v>
      </c>
      <c r="AG269" s="20">
        <v>0</v>
      </c>
    </row>
    <row r="270" spans="1:33" ht="63" customHeight="1" x14ac:dyDescent="0.2">
      <c r="A270" s="6">
        <v>3</v>
      </c>
      <c r="B270" s="6" t="s">
        <v>408</v>
      </c>
      <c r="C270" s="6">
        <v>2</v>
      </c>
      <c r="D270" s="6" t="s">
        <v>439</v>
      </c>
      <c r="E270" s="6" t="s">
        <v>440</v>
      </c>
      <c r="F270" s="6" t="s">
        <v>444</v>
      </c>
      <c r="G270" s="6" t="s">
        <v>445</v>
      </c>
      <c r="H270" s="6" t="s">
        <v>448</v>
      </c>
      <c r="I270" s="10">
        <v>2020051290066</v>
      </c>
      <c r="J270" s="6">
        <v>2</v>
      </c>
      <c r="K270" s="6">
        <v>3212</v>
      </c>
      <c r="L270" s="28" t="s">
        <v>450</v>
      </c>
      <c r="M270" s="6" t="s">
        <v>34</v>
      </c>
      <c r="N270" s="9" t="s">
        <v>35</v>
      </c>
      <c r="O270" s="6" t="s">
        <v>422</v>
      </c>
      <c r="P270" s="6" t="s">
        <v>37</v>
      </c>
      <c r="Q270" s="6">
        <v>1</v>
      </c>
      <c r="R270" s="21">
        <f t="shared" si="5"/>
        <v>35822300</v>
      </c>
      <c r="S270" s="21">
        <v>0</v>
      </c>
      <c r="T270" s="20">
        <v>0</v>
      </c>
      <c r="U270" s="20">
        <v>0</v>
      </c>
      <c r="V270" s="20">
        <v>0</v>
      </c>
      <c r="W270" s="20">
        <v>35822300</v>
      </c>
      <c r="X270" s="20">
        <v>0</v>
      </c>
      <c r="Y270" s="20">
        <v>0</v>
      </c>
      <c r="Z270" s="20">
        <v>0</v>
      </c>
      <c r="AA270" s="20">
        <v>0</v>
      </c>
      <c r="AB270" s="20">
        <v>0</v>
      </c>
      <c r="AC270" s="20">
        <v>0</v>
      </c>
      <c r="AD270" s="20">
        <v>0</v>
      </c>
      <c r="AE270" s="20">
        <v>0</v>
      </c>
      <c r="AF270" s="20">
        <v>0</v>
      </c>
      <c r="AG270" s="20">
        <v>0</v>
      </c>
    </row>
    <row r="271" spans="1:33" ht="60" customHeight="1" x14ac:dyDescent="0.2">
      <c r="A271" s="6">
        <v>3</v>
      </c>
      <c r="B271" s="6" t="s">
        <v>408</v>
      </c>
      <c r="C271" s="6">
        <v>2</v>
      </c>
      <c r="D271" s="6" t="s">
        <v>439</v>
      </c>
      <c r="E271" s="6" t="s">
        <v>440</v>
      </c>
      <c r="F271" s="6" t="s">
        <v>441</v>
      </c>
      <c r="G271" s="6" t="s">
        <v>442</v>
      </c>
      <c r="H271" s="6" t="s">
        <v>451</v>
      </c>
      <c r="I271" s="10">
        <v>2020051290071</v>
      </c>
      <c r="J271" s="6">
        <v>1</v>
      </c>
      <c r="K271" s="6">
        <v>3221</v>
      </c>
      <c r="L271" s="28" t="s">
        <v>452</v>
      </c>
      <c r="M271" s="6" t="s">
        <v>34</v>
      </c>
      <c r="N271" s="9" t="s">
        <v>35</v>
      </c>
      <c r="O271" s="6" t="s">
        <v>422</v>
      </c>
      <c r="P271" s="6" t="s">
        <v>37</v>
      </c>
      <c r="Q271" s="6">
        <v>1</v>
      </c>
      <c r="R271" s="21">
        <f t="shared" si="5"/>
        <v>35540468</v>
      </c>
      <c r="S271" s="21">
        <v>0</v>
      </c>
      <c r="T271" s="20">
        <v>0</v>
      </c>
      <c r="U271" s="20">
        <v>0</v>
      </c>
      <c r="V271" s="20">
        <v>0</v>
      </c>
      <c r="W271" s="20">
        <f>200000000-44819844-44819844-44819844-30000000</f>
        <v>35540468</v>
      </c>
      <c r="X271" s="20">
        <v>0</v>
      </c>
      <c r="Y271" s="20">
        <v>0</v>
      </c>
      <c r="Z271" s="20">
        <v>0</v>
      </c>
      <c r="AA271" s="20">
        <v>0</v>
      </c>
      <c r="AB271" s="20">
        <v>0</v>
      </c>
      <c r="AC271" s="20">
        <v>0</v>
      </c>
      <c r="AD271" s="20">
        <v>0</v>
      </c>
      <c r="AE271" s="20">
        <v>0</v>
      </c>
      <c r="AF271" s="20">
        <v>0</v>
      </c>
      <c r="AG271" s="20">
        <v>0</v>
      </c>
    </row>
    <row r="272" spans="1:33" ht="60" customHeight="1" x14ac:dyDescent="0.2">
      <c r="A272" s="6">
        <v>3</v>
      </c>
      <c r="B272" s="6" t="s">
        <v>408</v>
      </c>
      <c r="C272" s="6">
        <v>2</v>
      </c>
      <c r="D272" s="6" t="s">
        <v>439</v>
      </c>
      <c r="E272" s="6" t="s">
        <v>440</v>
      </c>
      <c r="F272" s="6" t="s">
        <v>441</v>
      </c>
      <c r="G272" s="6" t="s">
        <v>442</v>
      </c>
      <c r="H272" s="6" t="s">
        <v>451</v>
      </c>
      <c r="I272" s="10">
        <v>2020051290071</v>
      </c>
      <c r="J272" s="6">
        <v>2</v>
      </c>
      <c r="K272" s="6">
        <v>3222</v>
      </c>
      <c r="L272" s="28" t="s">
        <v>453</v>
      </c>
      <c r="M272" s="6" t="s">
        <v>34</v>
      </c>
      <c r="N272" s="9" t="s">
        <v>35</v>
      </c>
      <c r="O272" s="6" t="s">
        <v>422</v>
      </c>
      <c r="P272" s="6" t="s">
        <v>37</v>
      </c>
      <c r="Q272" s="6">
        <v>1</v>
      </c>
      <c r="R272" s="21">
        <f t="shared" si="5"/>
        <v>48995617</v>
      </c>
      <c r="S272" s="21">
        <v>0</v>
      </c>
      <c r="T272" s="20">
        <v>0</v>
      </c>
      <c r="U272" s="20">
        <v>0</v>
      </c>
      <c r="V272" s="20">
        <v>0</v>
      </c>
      <c r="W272" s="20">
        <f>138635305-44819844-44819844</f>
        <v>48995617</v>
      </c>
      <c r="X272" s="20">
        <v>0</v>
      </c>
      <c r="Y272" s="20">
        <v>0</v>
      </c>
      <c r="Z272" s="20">
        <v>0</v>
      </c>
      <c r="AA272" s="20">
        <v>0</v>
      </c>
      <c r="AB272" s="20">
        <v>0</v>
      </c>
      <c r="AC272" s="20">
        <v>0</v>
      </c>
      <c r="AD272" s="20">
        <v>0</v>
      </c>
      <c r="AE272" s="20">
        <v>0</v>
      </c>
      <c r="AF272" s="20">
        <v>0</v>
      </c>
      <c r="AG272" s="20">
        <v>0</v>
      </c>
    </row>
    <row r="273" spans="1:33" ht="69" customHeight="1" x14ac:dyDescent="0.2">
      <c r="A273" s="6">
        <v>3</v>
      </c>
      <c r="B273" s="6" t="s">
        <v>408</v>
      </c>
      <c r="C273" s="6">
        <v>2</v>
      </c>
      <c r="D273" s="6" t="s">
        <v>439</v>
      </c>
      <c r="E273" s="6" t="s">
        <v>440</v>
      </c>
      <c r="F273" s="6" t="s">
        <v>441</v>
      </c>
      <c r="G273" s="6" t="s">
        <v>442</v>
      </c>
      <c r="H273" s="6" t="s">
        <v>451</v>
      </c>
      <c r="I273" s="10">
        <v>2020051290071</v>
      </c>
      <c r="J273" s="6">
        <v>3</v>
      </c>
      <c r="K273" s="6">
        <v>3223</v>
      </c>
      <c r="L273" s="28" t="s">
        <v>454</v>
      </c>
      <c r="M273" s="6" t="s">
        <v>34</v>
      </c>
      <c r="N273" s="9" t="s">
        <v>35</v>
      </c>
      <c r="O273" s="6" t="s">
        <v>422</v>
      </c>
      <c r="P273" s="6" t="s">
        <v>37</v>
      </c>
      <c r="Q273" s="6">
        <v>1</v>
      </c>
      <c r="R273" s="21">
        <f t="shared" ref="R273:R303" si="6">SUM(S273:AG273)</f>
        <v>20000000</v>
      </c>
      <c r="S273" s="21">
        <v>0</v>
      </c>
      <c r="T273" s="20">
        <v>0</v>
      </c>
      <c r="U273" s="20">
        <v>0</v>
      </c>
      <c r="V273" s="20">
        <v>0</v>
      </c>
      <c r="W273" s="20">
        <v>20000000</v>
      </c>
      <c r="X273" s="20">
        <v>0</v>
      </c>
      <c r="Y273" s="20">
        <v>0</v>
      </c>
      <c r="Z273" s="20">
        <v>0</v>
      </c>
      <c r="AA273" s="20">
        <v>0</v>
      </c>
      <c r="AB273" s="20">
        <v>0</v>
      </c>
      <c r="AC273" s="20">
        <v>0</v>
      </c>
      <c r="AD273" s="20">
        <v>0</v>
      </c>
      <c r="AE273" s="20">
        <v>0</v>
      </c>
      <c r="AF273" s="20">
        <v>0</v>
      </c>
      <c r="AG273" s="20">
        <v>0</v>
      </c>
    </row>
    <row r="274" spans="1:33" ht="45" customHeight="1" x14ac:dyDescent="0.2">
      <c r="A274" s="6">
        <v>3</v>
      </c>
      <c r="B274" s="6" t="s">
        <v>408</v>
      </c>
      <c r="C274" s="6">
        <v>2</v>
      </c>
      <c r="D274" s="6" t="s">
        <v>439</v>
      </c>
      <c r="E274" s="6" t="s">
        <v>440</v>
      </c>
      <c r="F274" s="6" t="s">
        <v>441</v>
      </c>
      <c r="G274" s="6" t="s">
        <v>442</v>
      </c>
      <c r="H274" s="6" t="s">
        <v>451</v>
      </c>
      <c r="I274" s="10">
        <v>2020051290071</v>
      </c>
      <c r="J274" s="6">
        <v>5</v>
      </c>
      <c r="K274" s="6">
        <v>3225</v>
      </c>
      <c r="L274" s="28" t="s">
        <v>455</v>
      </c>
      <c r="M274" s="6" t="s">
        <v>34</v>
      </c>
      <c r="N274" s="9" t="s">
        <v>35</v>
      </c>
      <c r="O274" s="6" t="s">
        <v>422</v>
      </c>
      <c r="P274" s="6" t="s">
        <v>37</v>
      </c>
      <c r="Q274" s="6">
        <v>1</v>
      </c>
      <c r="R274" s="21">
        <f t="shared" si="6"/>
        <v>25180156</v>
      </c>
      <c r="S274" s="21">
        <v>0</v>
      </c>
      <c r="T274" s="20">
        <v>0</v>
      </c>
      <c r="U274" s="20">
        <v>0</v>
      </c>
      <c r="V274" s="20">
        <v>0</v>
      </c>
      <c r="W274" s="20">
        <f>70000000-44819844</f>
        <v>25180156</v>
      </c>
      <c r="X274" s="20">
        <v>0</v>
      </c>
      <c r="Y274" s="20">
        <v>0</v>
      </c>
      <c r="Z274" s="20">
        <v>0</v>
      </c>
      <c r="AA274" s="20">
        <v>0</v>
      </c>
      <c r="AB274" s="20">
        <v>0</v>
      </c>
      <c r="AC274" s="20">
        <v>0</v>
      </c>
      <c r="AD274" s="20">
        <v>0</v>
      </c>
      <c r="AE274" s="20">
        <v>0</v>
      </c>
      <c r="AF274" s="20">
        <v>0</v>
      </c>
      <c r="AG274" s="20">
        <v>0</v>
      </c>
    </row>
    <row r="275" spans="1:33" ht="45" customHeight="1" x14ac:dyDescent="0.2">
      <c r="A275" s="6">
        <v>3</v>
      </c>
      <c r="B275" s="6" t="s">
        <v>408</v>
      </c>
      <c r="C275" s="6">
        <v>2</v>
      </c>
      <c r="D275" s="6" t="s">
        <v>439</v>
      </c>
      <c r="E275" s="6" t="s">
        <v>440</v>
      </c>
      <c r="F275" s="6" t="s">
        <v>441</v>
      </c>
      <c r="G275" s="6" t="s">
        <v>442</v>
      </c>
      <c r="H275" s="6" t="s">
        <v>451</v>
      </c>
      <c r="I275" s="10">
        <v>2020051290071</v>
      </c>
      <c r="J275" s="6">
        <v>6</v>
      </c>
      <c r="K275" s="6">
        <v>3226</v>
      </c>
      <c r="L275" s="28" t="s">
        <v>456</v>
      </c>
      <c r="M275" s="6" t="s">
        <v>34</v>
      </c>
      <c r="N275" s="9" t="s">
        <v>35</v>
      </c>
      <c r="O275" s="6" t="s">
        <v>422</v>
      </c>
      <c r="P275" s="6" t="s">
        <v>37</v>
      </c>
      <c r="Q275" s="6">
        <v>1</v>
      </c>
      <c r="R275" s="21">
        <f t="shared" si="6"/>
        <v>42027501</v>
      </c>
      <c r="S275" s="21">
        <v>0</v>
      </c>
      <c r="T275" s="20">
        <v>0</v>
      </c>
      <c r="U275" s="20">
        <v>0</v>
      </c>
      <c r="V275" s="20">
        <v>0</v>
      </c>
      <c r="W275" s="20">
        <f>86847345-44819844</f>
        <v>42027501</v>
      </c>
      <c r="X275" s="20">
        <v>0</v>
      </c>
      <c r="Y275" s="20">
        <v>0</v>
      </c>
      <c r="Z275" s="20">
        <v>0</v>
      </c>
      <c r="AA275" s="20">
        <v>0</v>
      </c>
      <c r="AB275" s="20">
        <v>0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</row>
    <row r="276" spans="1:33" ht="45" customHeight="1" x14ac:dyDescent="0.2">
      <c r="A276" s="6">
        <v>3</v>
      </c>
      <c r="B276" s="6" t="s">
        <v>408</v>
      </c>
      <c r="C276" s="6">
        <v>2</v>
      </c>
      <c r="D276" s="6" t="s">
        <v>439</v>
      </c>
      <c r="E276" s="6" t="s">
        <v>440</v>
      </c>
      <c r="F276" s="6" t="s">
        <v>441</v>
      </c>
      <c r="G276" s="6" t="s">
        <v>442</v>
      </c>
      <c r="H276" s="6" t="s">
        <v>451</v>
      </c>
      <c r="I276" s="10">
        <v>2020051290071</v>
      </c>
      <c r="J276" s="6">
        <v>6</v>
      </c>
      <c r="K276" s="6">
        <v>3226</v>
      </c>
      <c r="L276" s="28" t="s">
        <v>456</v>
      </c>
      <c r="M276" s="6" t="s">
        <v>34</v>
      </c>
      <c r="N276" s="9" t="s">
        <v>35</v>
      </c>
      <c r="O276" s="6" t="s">
        <v>422</v>
      </c>
      <c r="P276" s="6" t="s">
        <v>52</v>
      </c>
      <c r="Q276" s="6">
        <v>1</v>
      </c>
      <c r="R276" s="21">
        <f t="shared" si="6"/>
        <v>17213090</v>
      </c>
      <c r="S276" s="21">
        <v>0</v>
      </c>
      <c r="T276" s="20">
        <v>0</v>
      </c>
      <c r="U276" s="20">
        <v>0</v>
      </c>
      <c r="V276" s="20">
        <v>0</v>
      </c>
      <c r="W276" s="20">
        <v>0</v>
      </c>
      <c r="X276" s="20">
        <v>0</v>
      </c>
      <c r="Y276" s="20">
        <v>0</v>
      </c>
      <c r="Z276" s="20">
        <v>0</v>
      </c>
      <c r="AA276" s="20">
        <v>0</v>
      </c>
      <c r="AB276" s="20">
        <v>0</v>
      </c>
      <c r="AC276" s="20">
        <v>0</v>
      </c>
      <c r="AD276" s="8">
        <v>17213090</v>
      </c>
      <c r="AE276" s="20">
        <v>0</v>
      </c>
      <c r="AF276" s="20">
        <v>0</v>
      </c>
      <c r="AG276" s="20">
        <v>0</v>
      </c>
    </row>
    <row r="277" spans="1:33" ht="45" customHeight="1" x14ac:dyDescent="0.2">
      <c r="A277" s="6">
        <v>3</v>
      </c>
      <c r="B277" s="6" t="s">
        <v>408</v>
      </c>
      <c r="C277" s="6">
        <v>2</v>
      </c>
      <c r="D277" s="6" t="s">
        <v>439</v>
      </c>
      <c r="E277" s="6" t="s">
        <v>440</v>
      </c>
      <c r="F277" s="6" t="s">
        <v>441</v>
      </c>
      <c r="G277" s="6" t="s">
        <v>442</v>
      </c>
      <c r="H277" s="6" t="s">
        <v>451</v>
      </c>
      <c r="I277" s="10">
        <v>2020051290071</v>
      </c>
      <c r="J277" s="6">
        <v>7</v>
      </c>
      <c r="K277" s="6">
        <v>3227</v>
      </c>
      <c r="L277" s="28" t="s">
        <v>457</v>
      </c>
      <c r="M277" s="6" t="s">
        <v>34</v>
      </c>
      <c r="N277" s="9" t="s">
        <v>35</v>
      </c>
      <c r="O277" s="6" t="s">
        <v>422</v>
      </c>
      <c r="P277" s="6" t="s">
        <v>37</v>
      </c>
      <c r="Q277" s="6">
        <v>1</v>
      </c>
      <c r="R277" s="21">
        <f t="shared" si="6"/>
        <v>38123250</v>
      </c>
      <c r="S277" s="21">
        <v>0</v>
      </c>
      <c r="T277" s="20">
        <v>0</v>
      </c>
      <c r="U277" s="20">
        <v>0</v>
      </c>
      <c r="V277" s="20">
        <v>0</v>
      </c>
      <c r="W277" s="20">
        <f>82943094-44819844</f>
        <v>38123250</v>
      </c>
      <c r="X277" s="20">
        <v>0</v>
      </c>
      <c r="Y277" s="20">
        <v>0</v>
      </c>
      <c r="Z277" s="20">
        <v>0</v>
      </c>
      <c r="AA277" s="20">
        <v>0</v>
      </c>
      <c r="AB277" s="20">
        <v>0</v>
      </c>
      <c r="AC277" s="20">
        <v>0</v>
      </c>
      <c r="AD277" s="20">
        <v>0</v>
      </c>
      <c r="AE277" s="20">
        <v>0</v>
      </c>
      <c r="AF277" s="20">
        <v>0</v>
      </c>
      <c r="AG277" s="20">
        <v>0</v>
      </c>
    </row>
    <row r="278" spans="1:33" ht="45" customHeight="1" x14ac:dyDescent="0.2">
      <c r="A278" s="6">
        <v>3</v>
      </c>
      <c r="B278" s="6" t="s">
        <v>408</v>
      </c>
      <c r="C278" s="6">
        <v>2</v>
      </c>
      <c r="D278" s="6" t="s">
        <v>439</v>
      </c>
      <c r="E278" s="6" t="s">
        <v>440</v>
      </c>
      <c r="F278" s="6" t="s">
        <v>441</v>
      </c>
      <c r="G278" s="6" t="s">
        <v>442</v>
      </c>
      <c r="H278" s="6" t="s">
        <v>451</v>
      </c>
      <c r="I278" s="10">
        <v>2020051290071</v>
      </c>
      <c r="J278" s="6">
        <v>7</v>
      </c>
      <c r="K278" s="6">
        <v>3227</v>
      </c>
      <c r="L278" s="28" t="s">
        <v>457</v>
      </c>
      <c r="M278" s="6" t="s">
        <v>34</v>
      </c>
      <c r="N278" s="9" t="s">
        <v>35</v>
      </c>
      <c r="O278" s="6" t="s">
        <v>422</v>
      </c>
      <c r="P278" s="6" t="s">
        <v>52</v>
      </c>
      <c r="Q278" s="6">
        <v>1</v>
      </c>
      <c r="R278" s="21">
        <f t="shared" si="6"/>
        <v>24147768</v>
      </c>
      <c r="S278" s="21">
        <v>0</v>
      </c>
      <c r="T278" s="20">
        <v>0</v>
      </c>
      <c r="U278" s="20">
        <v>0</v>
      </c>
      <c r="V278" s="20">
        <v>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0</v>
      </c>
      <c r="AC278" s="20">
        <v>0</v>
      </c>
      <c r="AD278" s="8">
        <f>27456906-3309138</f>
        <v>24147768</v>
      </c>
      <c r="AE278" s="20">
        <v>0</v>
      </c>
      <c r="AF278" s="20">
        <v>0</v>
      </c>
      <c r="AG278" s="20">
        <v>0</v>
      </c>
    </row>
    <row r="279" spans="1:33" ht="60" customHeight="1" x14ac:dyDescent="0.2">
      <c r="A279" s="6">
        <v>3</v>
      </c>
      <c r="B279" s="6" t="s">
        <v>408</v>
      </c>
      <c r="C279" s="6">
        <v>2</v>
      </c>
      <c r="D279" s="6" t="s">
        <v>439</v>
      </c>
      <c r="E279" s="6" t="s">
        <v>440</v>
      </c>
      <c r="F279" s="6" t="s">
        <v>458</v>
      </c>
      <c r="G279" s="6" t="s">
        <v>459</v>
      </c>
      <c r="H279" s="6" t="s">
        <v>460</v>
      </c>
      <c r="I279" s="10">
        <v>2020051290063</v>
      </c>
      <c r="J279" s="6">
        <v>1</v>
      </c>
      <c r="K279" s="6">
        <v>3231</v>
      </c>
      <c r="L279" s="28" t="s">
        <v>461</v>
      </c>
      <c r="M279" s="6" t="s">
        <v>34</v>
      </c>
      <c r="N279" s="9" t="s">
        <v>35</v>
      </c>
      <c r="O279" s="6" t="s">
        <v>422</v>
      </c>
      <c r="P279" s="6" t="s">
        <v>37</v>
      </c>
      <c r="Q279" s="6">
        <v>1</v>
      </c>
      <c r="R279" s="21">
        <f t="shared" si="6"/>
        <v>43380156</v>
      </c>
      <c r="S279" s="21">
        <v>0</v>
      </c>
      <c r="T279" s="20">
        <v>0</v>
      </c>
      <c r="U279" s="20">
        <v>0</v>
      </c>
      <c r="V279" s="20">
        <v>0</v>
      </c>
      <c r="W279" s="20">
        <f>88200000-44819844</f>
        <v>43380156</v>
      </c>
      <c r="X279" s="20">
        <v>0</v>
      </c>
      <c r="Y279" s="20">
        <v>0</v>
      </c>
      <c r="Z279" s="20">
        <v>0</v>
      </c>
      <c r="AA279" s="20">
        <v>0</v>
      </c>
      <c r="AB279" s="20">
        <v>0</v>
      </c>
      <c r="AC279" s="20">
        <v>0</v>
      </c>
      <c r="AD279" s="20">
        <v>0</v>
      </c>
      <c r="AE279" s="20">
        <v>0</v>
      </c>
      <c r="AF279" s="20">
        <v>0</v>
      </c>
      <c r="AG279" s="20">
        <v>0</v>
      </c>
    </row>
    <row r="280" spans="1:33" ht="45" customHeight="1" x14ac:dyDescent="0.2">
      <c r="A280" s="6">
        <v>3</v>
      </c>
      <c r="B280" s="6" t="s">
        <v>408</v>
      </c>
      <c r="C280" s="6">
        <v>2</v>
      </c>
      <c r="D280" s="6" t="s">
        <v>439</v>
      </c>
      <c r="E280" s="6" t="s">
        <v>440</v>
      </c>
      <c r="F280" s="6" t="s">
        <v>458</v>
      </c>
      <c r="G280" s="6" t="s">
        <v>459</v>
      </c>
      <c r="H280" s="6" t="s">
        <v>460</v>
      </c>
      <c r="I280" s="10">
        <v>2020051290063</v>
      </c>
      <c r="J280" s="6">
        <v>2</v>
      </c>
      <c r="K280" s="6">
        <v>3232</v>
      </c>
      <c r="L280" s="28" t="s">
        <v>462</v>
      </c>
      <c r="M280" s="6" t="s">
        <v>34</v>
      </c>
      <c r="N280" s="9" t="s">
        <v>35</v>
      </c>
      <c r="O280" s="6" t="s">
        <v>422</v>
      </c>
      <c r="P280" s="6" t="s">
        <v>37</v>
      </c>
      <c r="Q280" s="6">
        <v>1</v>
      </c>
      <c r="R280" s="21">
        <f t="shared" si="6"/>
        <v>37246818</v>
      </c>
      <c r="S280" s="21">
        <v>0</v>
      </c>
      <c r="T280" s="20">
        <v>0</v>
      </c>
      <c r="U280" s="20">
        <v>0</v>
      </c>
      <c r="V280" s="20">
        <v>0</v>
      </c>
      <c r="W280" s="20">
        <f>82066662-44819844</f>
        <v>37246818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  <c r="AF280" s="20">
        <v>0</v>
      </c>
      <c r="AG280" s="20">
        <v>0</v>
      </c>
    </row>
    <row r="281" spans="1:33" ht="60" customHeight="1" x14ac:dyDescent="0.2">
      <c r="A281" s="6">
        <v>3</v>
      </c>
      <c r="B281" s="6" t="s">
        <v>408</v>
      </c>
      <c r="C281" s="6">
        <v>2</v>
      </c>
      <c r="D281" s="6" t="s">
        <v>439</v>
      </c>
      <c r="E281" s="6" t="s">
        <v>440</v>
      </c>
      <c r="F281" s="6" t="s">
        <v>458</v>
      </c>
      <c r="G281" s="6" t="s">
        <v>459</v>
      </c>
      <c r="H281" s="6" t="s">
        <v>460</v>
      </c>
      <c r="I281" s="10">
        <v>2020051290063</v>
      </c>
      <c r="J281" s="6">
        <v>3</v>
      </c>
      <c r="K281" s="6">
        <v>3233</v>
      </c>
      <c r="L281" s="28" t="s">
        <v>463</v>
      </c>
      <c r="M281" s="6" t="s">
        <v>34</v>
      </c>
      <c r="N281" s="9" t="s">
        <v>35</v>
      </c>
      <c r="O281" s="6" t="s">
        <v>422</v>
      </c>
      <c r="P281" s="6" t="s">
        <v>37</v>
      </c>
      <c r="Q281" s="6">
        <v>1</v>
      </c>
      <c r="R281" s="21">
        <f t="shared" si="6"/>
        <v>42986406</v>
      </c>
      <c r="S281" s="21">
        <v>0</v>
      </c>
      <c r="T281" s="20">
        <v>0</v>
      </c>
      <c r="U281" s="20">
        <v>0</v>
      </c>
      <c r="V281" s="20">
        <v>0</v>
      </c>
      <c r="W281" s="20">
        <f>97806250-54819844</f>
        <v>42986406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</row>
    <row r="282" spans="1:33" ht="75" customHeight="1" x14ac:dyDescent="0.2">
      <c r="A282" s="6">
        <v>3</v>
      </c>
      <c r="B282" s="6" t="s">
        <v>408</v>
      </c>
      <c r="C282" s="6">
        <v>2</v>
      </c>
      <c r="D282" s="6" t="s">
        <v>439</v>
      </c>
      <c r="E282" s="6" t="s">
        <v>440</v>
      </c>
      <c r="F282" s="6" t="s">
        <v>458</v>
      </c>
      <c r="G282" s="6" t="s">
        <v>459</v>
      </c>
      <c r="H282" s="6" t="s">
        <v>460</v>
      </c>
      <c r="I282" s="10">
        <v>2020051290063</v>
      </c>
      <c r="J282" s="6">
        <v>4</v>
      </c>
      <c r="K282" s="6">
        <v>3234</v>
      </c>
      <c r="L282" s="28" t="s">
        <v>464</v>
      </c>
      <c r="M282" s="6" t="s">
        <v>34</v>
      </c>
      <c r="N282" s="9" t="s">
        <v>35</v>
      </c>
      <c r="O282" s="6" t="s">
        <v>422</v>
      </c>
      <c r="P282" s="6" t="s">
        <v>37</v>
      </c>
      <c r="Q282" s="6">
        <v>1</v>
      </c>
      <c r="R282" s="21">
        <f t="shared" si="6"/>
        <v>20000000</v>
      </c>
      <c r="S282" s="21">
        <v>0</v>
      </c>
      <c r="T282" s="20">
        <v>0</v>
      </c>
      <c r="U282" s="20">
        <v>0</v>
      </c>
      <c r="V282" s="20">
        <v>0</v>
      </c>
      <c r="W282" s="20">
        <v>20000000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  <c r="AC282" s="20">
        <v>0</v>
      </c>
      <c r="AD282" s="20">
        <v>0</v>
      </c>
      <c r="AE282" s="20">
        <v>0</v>
      </c>
      <c r="AF282" s="20">
        <v>0</v>
      </c>
      <c r="AG282" s="20">
        <v>0</v>
      </c>
    </row>
    <row r="283" spans="1:33" ht="45" customHeight="1" x14ac:dyDescent="0.2">
      <c r="A283" s="6">
        <v>3</v>
      </c>
      <c r="B283" s="6" t="s">
        <v>408</v>
      </c>
      <c r="C283" s="6">
        <v>2</v>
      </c>
      <c r="D283" s="6" t="s">
        <v>439</v>
      </c>
      <c r="E283" s="6" t="s">
        <v>440</v>
      </c>
      <c r="F283" s="6" t="s">
        <v>458</v>
      </c>
      <c r="G283" s="6" t="s">
        <v>459</v>
      </c>
      <c r="H283" s="6" t="s">
        <v>460</v>
      </c>
      <c r="I283" s="10">
        <v>2020051290063</v>
      </c>
      <c r="J283" s="6">
        <v>5</v>
      </c>
      <c r="K283" s="6">
        <v>3235</v>
      </c>
      <c r="L283" s="28" t="s">
        <v>465</v>
      </c>
      <c r="M283" s="6" t="s">
        <v>34</v>
      </c>
      <c r="N283" s="9" t="s">
        <v>35</v>
      </c>
      <c r="O283" s="6" t="s">
        <v>422</v>
      </c>
      <c r="P283" s="6" t="s">
        <v>37</v>
      </c>
      <c r="Q283" s="6">
        <v>1</v>
      </c>
      <c r="R283" s="21">
        <f t="shared" si="6"/>
        <v>19057742</v>
      </c>
      <c r="S283" s="21">
        <v>0</v>
      </c>
      <c r="T283" s="20">
        <v>0</v>
      </c>
      <c r="U283" s="20">
        <v>0</v>
      </c>
      <c r="V283" s="20">
        <v>0</v>
      </c>
      <c r="W283" s="20">
        <f>108697430-44819844-44819844</f>
        <v>19057742</v>
      </c>
      <c r="X283" s="20">
        <v>0</v>
      </c>
      <c r="Y283" s="20">
        <v>0</v>
      </c>
      <c r="Z283" s="20">
        <v>0</v>
      </c>
      <c r="AA283" s="20">
        <v>0</v>
      </c>
      <c r="AB283" s="20">
        <v>0</v>
      </c>
      <c r="AC283" s="20">
        <v>0</v>
      </c>
      <c r="AD283" s="20">
        <v>0</v>
      </c>
      <c r="AE283" s="20">
        <v>0</v>
      </c>
      <c r="AF283" s="20">
        <v>0</v>
      </c>
      <c r="AG283" s="20">
        <v>0</v>
      </c>
    </row>
    <row r="284" spans="1:33" ht="45" customHeight="1" x14ac:dyDescent="0.2">
      <c r="A284" s="6">
        <v>3</v>
      </c>
      <c r="B284" s="6" t="s">
        <v>408</v>
      </c>
      <c r="C284" s="6">
        <v>2</v>
      </c>
      <c r="D284" s="6" t="s">
        <v>439</v>
      </c>
      <c r="E284" s="6" t="s">
        <v>440</v>
      </c>
      <c r="F284" s="6" t="s">
        <v>458</v>
      </c>
      <c r="G284" s="6" t="s">
        <v>459</v>
      </c>
      <c r="H284" s="6" t="s">
        <v>460</v>
      </c>
      <c r="I284" s="10">
        <v>2020051290063</v>
      </c>
      <c r="J284" s="6">
        <v>6</v>
      </c>
      <c r="K284" s="6">
        <v>3236</v>
      </c>
      <c r="L284" s="28" t="s">
        <v>466</v>
      </c>
      <c r="M284" s="6" t="s">
        <v>46</v>
      </c>
      <c r="N284" s="9" t="s">
        <v>60</v>
      </c>
      <c r="O284" s="6" t="s">
        <v>422</v>
      </c>
      <c r="P284" s="6" t="s">
        <v>52</v>
      </c>
      <c r="Q284" s="9">
        <v>1</v>
      </c>
      <c r="R284" s="21">
        <f t="shared" si="6"/>
        <v>15000000</v>
      </c>
      <c r="S284" s="21">
        <v>0</v>
      </c>
      <c r="T284" s="20">
        <v>0</v>
      </c>
      <c r="U284" s="20">
        <v>0</v>
      </c>
      <c r="V284" s="20">
        <v>0</v>
      </c>
      <c r="W284" s="20">
        <v>0</v>
      </c>
      <c r="X284" s="20">
        <v>0</v>
      </c>
      <c r="Y284" s="20">
        <v>0</v>
      </c>
      <c r="Z284" s="20">
        <v>0</v>
      </c>
      <c r="AA284" s="20">
        <v>0</v>
      </c>
      <c r="AB284" s="20">
        <v>0</v>
      </c>
      <c r="AC284" s="20">
        <v>0</v>
      </c>
      <c r="AD284" s="8">
        <v>15000000</v>
      </c>
      <c r="AE284" s="20">
        <v>0</v>
      </c>
      <c r="AF284" s="20">
        <v>0</v>
      </c>
      <c r="AG284" s="20">
        <v>0</v>
      </c>
    </row>
    <row r="285" spans="1:33" ht="45" customHeight="1" x14ac:dyDescent="0.2">
      <c r="A285" s="6">
        <v>3</v>
      </c>
      <c r="B285" s="6" t="s">
        <v>408</v>
      </c>
      <c r="C285" s="6">
        <v>2</v>
      </c>
      <c r="D285" s="6" t="s">
        <v>439</v>
      </c>
      <c r="E285" s="6" t="s">
        <v>440</v>
      </c>
      <c r="F285" s="6" t="s">
        <v>458</v>
      </c>
      <c r="G285" s="6" t="s">
        <v>459</v>
      </c>
      <c r="H285" s="6" t="s">
        <v>460</v>
      </c>
      <c r="I285" s="10">
        <v>2020051290063</v>
      </c>
      <c r="J285" s="6">
        <v>7</v>
      </c>
      <c r="K285" s="6">
        <v>3237</v>
      </c>
      <c r="L285" s="28" t="s">
        <v>467</v>
      </c>
      <c r="M285" s="6" t="s">
        <v>46</v>
      </c>
      <c r="N285" s="9" t="s">
        <v>60</v>
      </c>
      <c r="O285" s="6" t="s">
        <v>422</v>
      </c>
      <c r="P285" s="6" t="s">
        <v>37</v>
      </c>
      <c r="Q285" s="9">
        <v>1</v>
      </c>
      <c r="R285" s="21">
        <f t="shared" si="6"/>
        <v>57500000</v>
      </c>
      <c r="S285" s="21">
        <v>0</v>
      </c>
      <c r="T285" s="20">
        <v>0</v>
      </c>
      <c r="U285" s="20">
        <v>0</v>
      </c>
      <c r="V285" s="20">
        <v>0</v>
      </c>
      <c r="W285" s="20">
        <v>57500000</v>
      </c>
      <c r="X285" s="20">
        <v>0</v>
      </c>
      <c r="Y285" s="20">
        <v>0</v>
      </c>
      <c r="Z285" s="20">
        <v>0</v>
      </c>
      <c r="AA285" s="20">
        <v>0</v>
      </c>
      <c r="AB285" s="20">
        <v>0</v>
      </c>
      <c r="AC285" s="20">
        <v>0</v>
      </c>
      <c r="AD285" s="20">
        <v>0</v>
      </c>
      <c r="AE285" s="20">
        <v>0</v>
      </c>
      <c r="AF285" s="20">
        <v>0</v>
      </c>
      <c r="AG285" s="20">
        <v>0</v>
      </c>
    </row>
    <row r="286" spans="1:33" ht="45" customHeight="1" x14ac:dyDescent="0.2">
      <c r="A286" s="6">
        <v>3</v>
      </c>
      <c r="B286" s="6" t="s">
        <v>408</v>
      </c>
      <c r="C286" s="6">
        <v>2</v>
      </c>
      <c r="D286" s="6" t="s">
        <v>439</v>
      </c>
      <c r="E286" s="6" t="s">
        <v>440</v>
      </c>
      <c r="F286" s="6" t="s">
        <v>468</v>
      </c>
      <c r="G286" s="6" t="s">
        <v>469</v>
      </c>
      <c r="H286" s="6" t="s">
        <v>470</v>
      </c>
      <c r="I286" s="10">
        <v>2020051290069</v>
      </c>
      <c r="J286" s="6">
        <v>1</v>
      </c>
      <c r="K286" s="6">
        <v>3241</v>
      </c>
      <c r="L286" s="28" t="s">
        <v>471</v>
      </c>
      <c r="M286" s="6" t="s">
        <v>34</v>
      </c>
      <c r="N286" s="9" t="s">
        <v>35</v>
      </c>
      <c r="O286" s="6" t="s">
        <v>422</v>
      </c>
      <c r="P286" s="6" t="s">
        <v>37</v>
      </c>
      <c r="Q286" s="6">
        <v>1</v>
      </c>
      <c r="R286" s="21">
        <f t="shared" si="6"/>
        <v>35180156</v>
      </c>
      <c r="S286" s="21">
        <v>0</v>
      </c>
      <c r="T286" s="20">
        <v>0</v>
      </c>
      <c r="U286" s="20">
        <v>0</v>
      </c>
      <c r="V286" s="20">
        <v>0</v>
      </c>
      <c r="W286" s="20">
        <f>80000000-44819844</f>
        <v>35180156</v>
      </c>
      <c r="X286" s="20">
        <v>0</v>
      </c>
      <c r="Y286" s="20">
        <v>0</v>
      </c>
      <c r="Z286" s="20">
        <v>0</v>
      </c>
      <c r="AA286" s="20">
        <v>0</v>
      </c>
      <c r="AB286" s="20">
        <v>0</v>
      </c>
      <c r="AC286" s="20">
        <v>0</v>
      </c>
      <c r="AD286" s="20">
        <v>0</v>
      </c>
      <c r="AE286" s="20">
        <v>0</v>
      </c>
      <c r="AF286" s="20">
        <v>0</v>
      </c>
      <c r="AG286" s="20">
        <v>0</v>
      </c>
    </row>
    <row r="287" spans="1:33" ht="45" customHeight="1" x14ac:dyDescent="0.2">
      <c r="A287" s="6">
        <v>3</v>
      </c>
      <c r="B287" s="6" t="s">
        <v>408</v>
      </c>
      <c r="C287" s="6">
        <v>2</v>
      </c>
      <c r="D287" s="6" t="s">
        <v>439</v>
      </c>
      <c r="E287" s="6" t="s">
        <v>440</v>
      </c>
      <c r="F287" s="6" t="s">
        <v>468</v>
      </c>
      <c r="G287" s="6" t="s">
        <v>469</v>
      </c>
      <c r="H287" s="6" t="s">
        <v>470</v>
      </c>
      <c r="I287" s="10">
        <v>2020051290069</v>
      </c>
      <c r="J287" s="6">
        <v>2</v>
      </c>
      <c r="K287" s="6">
        <v>3242</v>
      </c>
      <c r="L287" s="28" t="s">
        <v>472</v>
      </c>
      <c r="M287" s="6" t="s">
        <v>34</v>
      </c>
      <c r="N287" s="9" t="s">
        <v>35</v>
      </c>
      <c r="O287" s="6" t="s">
        <v>422</v>
      </c>
      <c r="P287" s="6" t="s">
        <v>37</v>
      </c>
      <c r="Q287" s="6">
        <v>1</v>
      </c>
      <c r="R287" s="21">
        <f t="shared" si="6"/>
        <v>4500000</v>
      </c>
      <c r="S287" s="21">
        <v>0</v>
      </c>
      <c r="T287" s="20">
        <v>0</v>
      </c>
      <c r="U287" s="20">
        <v>0</v>
      </c>
      <c r="V287" s="20">
        <v>0</v>
      </c>
      <c r="W287" s="20">
        <v>4500000</v>
      </c>
      <c r="X287" s="20">
        <v>0</v>
      </c>
      <c r="Y287" s="20">
        <v>0</v>
      </c>
      <c r="Z287" s="20">
        <v>0</v>
      </c>
      <c r="AA287" s="20">
        <v>0</v>
      </c>
      <c r="AB287" s="20">
        <v>0</v>
      </c>
      <c r="AC287" s="20">
        <v>0</v>
      </c>
      <c r="AD287" s="20">
        <v>0</v>
      </c>
      <c r="AE287" s="20">
        <v>0</v>
      </c>
      <c r="AF287" s="20">
        <v>0</v>
      </c>
      <c r="AG287" s="20">
        <v>0</v>
      </c>
    </row>
    <row r="288" spans="1:33" ht="45" customHeight="1" x14ac:dyDescent="0.2">
      <c r="A288" s="6">
        <v>3</v>
      </c>
      <c r="B288" s="6" t="s">
        <v>408</v>
      </c>
      <c r="C288" s="6">
        <v>2</v>
      </c>
      <c r="D288" s="6" t="s">
        <v>439</v>
      </c>
      <c r="E288" s="6" t="s">
        <v>440</v>
      </c>
      <c r="F288" s="6" t="s">
        <v>468</v>
      </c>
      <c r="G288" s="6" t="s">
        <v>469</v>
      </c>
      <c r="H288" s="6" t="s">
        <v>470</v>
      </c>
      <c r="I288" s="10">
        <v>2020051290069</v>
      </c>
      <c r="J288" s="6">
        <v>3</v>
      </c>
      <c r="K288" s="6">
        <v>3243</v>
      </c>
      <c r="L288" s="28" t="s">
        <v>473</v>
      </c>
      <c r="M288" s="6" t="s">
        <v>34</v>
      </c>
      <c r="N288" s="9" t="s">
        <v>35</v>
      </c>
      <c r="O288" s="6" t="s">
        <v>422</v>
      </c>
      <c r="P288" s="6" t="s">
        <v>37</v>
      </c>
      <c r="Q288" s="6">
        <v>1</v>
      </c>
      <c r="R288" s="21">
        <f t="shared" si="6"/>
        <v>50000000</v>
      </c>
      <c r="S288" s="21">
        <v>0</v>
      </c>
      <c r="T288" s="20">
        <v>0</v>
      </c>
      <c r="U288" s="20">
        <v>0</v>
      </c>
      <c r="V288" s="20">
        <v>0</v>
      </c>
      <c r="W288" s="20">
        <v>50000000</v>
      </c>
      <c r="X288" s="20">
        <v>0</v>
      </c>
      <c r="Y288" s="20">
        <v>0</v>
      </c>
      <c r="Z288" s="20">
        <v>0</v>
      </c>
      <c r="AA288" s="20">
        <v>0</v>
      </c>
      <c r="AB288" s="20">
        <v>0</v>
      </c>
      <c r="AC288" s="20">
        <v>0</v>
      </c>
      <c r="AD288" s="20">
        <v>0</v>
      </c>
      <c r="AE288" s="20">
        <v>0</v>
      </c>
      <c r="AF288" s="20">
        <v>0</v>
      </c>
      <c r="AG288" s="20">
        <v>0</v>
      </c>
    </row>
    <row r="289" spans="1:33" ht="45" customHeight="1" x14ac:dyDescent="0.2">
      <c r="A289" s="6">
        <v>3</v>
      </c>
      <c r="B289" s="6" t="s">
        <v>408</v>
      </c>
      <c r="C289" s="6">
        <v>2</v>
      </c>
      <c r="D289" s="6" t="s">
        <v>439</v>
      </c>
      <c r="E289" s="6" t="s">
        <v>440</v>
      </c>
      <c r="F289" s="6" t="s">
        <v>468</v>
      </c>
      <c r="G289" s="6" t="s">
        <v>469</v>
      </c>
      <c r="H289" s="6" t="s">
        <v>470</v>
      </c>
      <c r="I289" s="10">
        <v>2020051290069</v>
      </c>
      <c r="J289" s="6">
        <v>4</v>
      </c>
      <c r="K289" s="6">
        <v>3244</v>
      </c>
      <c r="L289" s="28" t="s">
        <v>474</v>
      </c>
      <c r="M289" s="6" t="s">
        <v>34</v>
      </c>
      <c r="N289" s="9" t="s">
        <v>35</v>
      </c>
      <c r="O289" s="6" t="s">
        <v>422</v>
      </c>
      <c r="P289" s="6" t="s">
        <v>37</v>
      </c>
      <c r="Q289" s="6">
        <v>2</v>
      </c>
      <c r="R289" s="21">
        <f t="shared" si="6"/>
        <v>15000000</v>
      </c>
      <c r="S289" s="21">
        <v>0</v>
      </c>
      <c r="T289" s="20">
        <v>0</v>
      </c>
      <c r="U289" s="20">
        <v>0</v>
      </c>
      <c r="V289" s="20">
        <v>0</v>
      </c>
      <c r="W289" s="20">
        <v>15000000</v>
      </c>
      <c r="X289" s="20">
        <v>0</v>
      </c>
      <c r="Y289" s="20">
        <v>0</v>
      </c>
      <c r="Z289" s="20">
        <v>0</v>
      </c>
      <c r="AA289" s="20">
        <v>0</v>
      </c>
      <c r="AB289" s="20">
        <v>0</v>
      </c>
      <c r="AC289" s="20">
        <v>0</v>
      </c>
      <c r="AD289" s="20">
        <v>0</v>
      </c>
      <c r="AE289" s="20">
        <v>0</v>
      </c>
      <c r="AF289" s="20">
        <v>0</v>
      </c>
      <c r="AG289" s="20">
        <v>0</v>
      </c>
    </row>
    <row r="290" spans="1:33" ht="45" customHeight="1" x14ac:dyDescent="0.2">
      <c r="A290" s="6">
        <v>3</v>
      </c>
      <c r="B290" s="6" t="s">
        <v>408</v>
      </c>
      <c r="C290" s="6">
        <v>2</v>
      </c>
      <c r="D290" s="6" t="s">
        <v>439</v>
      </c>
      <c r="E290" s="6" t="s">
        <v>440</v>
      </c>
      <c r="F290" s="6" t="s">
        <v>468</v>
      </c>
      <c r="G290" s="6" t="s">
        <v>469</v>
      </c>
      <c r="H290" s="6" t="s">
        <v>470</v>
      </c>
      <c r="I290" s="10">
        <v>2020051290069</v>
      </c>
      <c r="J290" s="6">
        <v>5</v>
      </c>
      <c r="K290" s="6">
        <v>3245</v>
      </c>
      <c r="L290" s="28" t="s">
        <v>475</v>
      </c>
      <c r="M290" s="6" t="s">
        <v>34</v>
      </c>
      <c r="N290" s="9" t="s">
        <v>35</v>
      </c>
      <c r="O290" s="6" t="s">
        <v>422</v>
      </c>
      <c r="P290" s="6" t="s">
        <v>52</v>
      </c>
      <c r="Q290" s="6">
        <v>2</v>
      </c>
      <c r="R290" s="21">
        <f t="shared" si="6"/>
        <v>15000000</v>
      </c>
      <c r="S290" s="21">
        <v>0</v>
      </c>
      <c r="T290" s="20">
        <v>0</v>
      </c>
      <c r="U290" s="20">
        <v>0</v>
      </c>
      <c r="V290" s="20">
        <v>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  <c r="AC290" s="20">
        <v>0</v>
      </c>
      <c r="AD290" s="8">
        <v>15000000</v>
      </c>
      <c r="AE290" s="20">
        <v>0</v>
      </c>
      <c r="AF290" s="20">
        <v>0</v>
      </c>
      <c r="AG290" s="20">
        <v>0</v>
      </c>
    </row>
    <row r="291" spans="1:33" ht="57" customHeight="1" x14ac:dyDescent="0.2">
      <c r="A291" s="6">
        <v>3</v>
      </c>
      <c r="B291" s="6" t="s">
        <v>408</v>
      </c>
      <c r="C291" s="6">
        <v>3</v>
      </c>
      <c r="D291" s="6" t="s">
        <v>476</v>
      </c>
      <c r="E291" s="6" t="s">
        <v>477</v>
      </c>
      <c r="F291" s="6" t="s">
        <v>478</v>
      </c>
      <c r="G291" s="6" t="s">
        <v>479</v>
      </c>
      <c r="H291" s="6" t="s">
        <v>480</v>
      </c>
      <c r="I291" s="10">
        <v>2020051290043</v>
      </c>
      <c r="J291" s="6">
        <v>3</v>
      </c>
      <c r="K291" s="6">
        <v>3313</v>
      </c>
      <c r="L291" s="6" t="s">
        <v>481</v>
      </c>
      <c r="M291" s="6" t="s">
        <v>34</v>
      </c>
      <c r="N291" s="9" t="s">
        <v>35</v>
      </c>
      <c r="O291" s="6" t="s">
        <v>204</v>
      </c>
      <c r="P291" s="6" t="s">
        <v>37</v>
      </c>
      <c r="Q291" s="6">
        <v>2</v>
      </c>
      <c r="R291" s="21">
        <f t="shared" si="6"/>
        <v>102420691</v>
      </c>
      <c r="S291" s="21">
        <v>0</v>
      </c>
      <c r="T291" s="20">
        <v>0</v>
      </c>
      <c r="U291" s="20"/>
      <c r="V291" s="20"/>
      <c r="W291" s="20">
        <f>44055538+18800000+39565153</f>
        <v>102420691</v>
      </c>
      <c r="X291" s="20">
        <v>0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</row>
    <row r="292" spans="1:33" ht="45" customHeight="1" x14ac:dyDescent="0.2">
      <c r="A292" s="6">
        <v>3</v>
      </c>
      <c r="B292" s="6" t="s">
        <v>408</v>
      </c>
      <c r="C292" s="6">
        <v>3</v>
      </c>
      <c r="D292" s="6" t="s">
        <v>476</v>
      </c>
      <c r="E292" s="6" t="s">
        <v>477</v>
      </c>
      <c r="F292" s="6" t="s">
        <v>478</v>
      </c>
      <c r="G292" s="6" t="s">
        <v>479</v>
      </c>
      <c r="H292" s="6" t="s">
        <v>480</v>
      </c>
      <c r="I292" s="10">
        <v>2020051290043</v>
      </c>
      <c r="J292" s="6">
        <v>5</v>
      </c>
      <c r="K292" s="6">
        <v>3315</v>
      </c>
      <c r="L292" s="6" t="s">
        <v>482</v>
      </c>
      <c r="M292" s="6" t="s">
        <v>34</v>
      </c>
      <c r="N292" s="9" t="s">
        <v>35</v>
      </c>
      <c r="O292" s="6" t="s">
        <v>204</v>
      </c>
      <c r="P292" s="6" t="s">
        <v>37</v>
      </c>
      <c r="Q292" s="6">
        <v>2</v>
      </c>
      <c r="R292" s="21">
        <f t="shared" si="6"/>
        <v>108018438</v>
      </c>
      <c r="S292" s="21">
        <v>0</v>
      </c>
      <c r="T292" s="20">
        <v>0</v>
      </c>
      <c r="U292" s="20"/>
      <c r="V292" s="20"/>
      <c r="W292" s="20">
        <f>44055538+24397747+39565153</f>
        <v>108018438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0</v>
      </c>
      <c r="AF292" s="20">
        <v>0</v>
      </c>
      <c r="AG292" s="20">
        <v>0</v>
      </c>
    </row>
    <row r="293" spans="1:33" ht="60" customHeight="1" x14ac:dyDescent="0.2">
      <c r="A293" s="6">
        <v>3</v>
      </c>
      <c r="B293" s="6" t="s">
        <v>408</v>
      </c>
      <c r="C293" s="6">
        <v>3</v>
      </c>
      <c r="D293" s="6" t="s">
        <v>476</v>
      </c>
      <c r="E293" s="6" t="s">
        <v>477</v>
      </c>
      <c r="F293" s="6" t="s">
        <v>483</v>
      </c>
      <c r="G293" s="6" t="s">
        <v>484</v>
      </c>
      <c r="H293" s="6" t="s">
        <v>480</v>
      </c>
      <c r="I293" s="10">
        <v>2020051290043</v>
      </c>
      <c r="J293" s="6">
        <v>1</v>
      </c>
      <c r="K293" s="6">
        <v>3331</v>
      </c>
      <c r="L293" s="6" t="s">
        <v>485</v>
      </c>
      <c r="M293" s="6" t="s">
        <v>34</v>
      </c>
      <c r="N293" s="9" t="s">
        <v>35</v>
      </c>
      <c r="O293" s="6" t="s">
        <v>204</v>
      </c>
      <c r="P293" s="6" t="s">
        <v>37</v>
      </c>
      <c r="Q293" s="6">
        <v>1</v>
      </c>
      <c r="R293" s="21">
        <f t="shared" si="6"/>
        <v>123691139</v>
      </c>
      <c r="S293" s="21">
        <v>0</v>
      </c>
      <c r="T293" s="20">
        <v>0</v>
      </c>
      <c r="U293" s="20"/>
      <c r="V293" s="20"/>
      <c r="W293" s="20">
        <f>44055538+40070448+39565153</f>
        <v>123691139</v>
      </c>
      <c r="X293" s="20">
        <v>0</v>
      </c>
      <c r="Y293" s="20">
        <v>0</v>
      </c>
      <c r="Z293" s="20">
        <v>0</v>
      </c>
      <c r="AA293" s="20">
        <v>0</v>
      </c>
      <c r="AB293" s="20">
        <v>0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</row>
    <row r="294" spans="1:33" ht="60" customHeight="1" x14ac:dyDescent="0.2">
      <c r="A294" s="6">
        <v>3</v>
      </c>
      <c r="B294" s="6" t="s">
        <v>408</v>
      </c>
      <c r="C294" s="6">
        <v>3</v>
      </c>
      <c r="D294" s="6" t="s">
        <v>476</v>
      </c>
      <c r="E294" s="6" t="s">
        <v>477</v>
      </c>
      <c r="F294" s="6" t="s">
        <v>483</v>
      </c>
      <c r="G294" s="6" t="s">
        <v>484</v>
      </c>
      <c r="H294" s="6" t="s">
        <v>480</v>
      </c>
      <c r="I294" s="10">
        <v>2020051290043</v>
      </c>
      <c r="J294" s="6">
        <v>2</v>
      </c>
      <c r="K294" s="6">
        <v>3332</v>
      </c>
      <c r="L294" s="6" t="s">
        <v>486</v>
      </c>
      <c r="M294" s="6" t="s">
        <v>34</v>
      </c>
      <c r="N294" s="9" t="s">
        <v>35</v>
      </c>
      <c r="O294" s="6" t="s">
        <v>204</v>
      </c>
      <c r="P294" s="6" t="s">
        <v>37</v>
      </c>
      <c r="Q294" s="6">
        <v>1</v>
      </c>
      <c r="R294" s="21">
        <f t="shared" si="6"/>
        <v>97826142</v>
      </c>
      <c r="S294" s="21">
        <v>0</v>
      </c>
      <c r="T294" s="20">
        <v>0</v>
      </c>
      <c r="U294" s="20"/>
      <c r="V294" s="20"/>
      <c r="W294" s="20">
        <f>44055538+14205451+39565153</f>
        <v>97826142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  <c r="AC294" s="20">
        <v>0</v>
      </c>
      <c r="AD294" s="20">
        <v>0</v>
      </c>
      <c r="AE294" s="20">
        <v>0</v>
      </c>
      <c r="AF294" s="20">
        <v>0</v>
      </c>
      <c r="AG294" s="20">
        <v>0</v>
      </c>
    </row>
    <row r="295" spans="1:33" ht="90" customHeight="1" x14ac:dyDescent="0.2">
      <c r="A295" s="6">
        <v>3</v>
      </c>
      <c r="B295" s="6" t="s">
        <v>408</v>
      </c>
      <c r="C295" s="6">
        <v>3</v>
      </c>
      <c r="D295" s="6" t="s">
        <v>476</v>
      </c>
      <c r="E295" s="6" t="s">
        <v>477</v>
      </c>
      <c r="F295" s="6" t="s">
        <v>483</v>
      </c>
      <c r="G295" s="6" t="s">
        <v>484</v>
      </c>
      <c r="H295" s="6" t="s">
        <v>480</v>
      </c>
      <c r="I295" s="10">
        <v>2020051290043</v>
      </c>
      <c r="J295" s="6">
        <v>3</v>
      </c>
      <c r="K295" s="6">
        <v>3333</v>
      </c>
      <c r="L295" s="6" t="s">
        <v>487</v>
      </c>
      <c r="M295" s="6" t="s">
        <v>34</v>
      </c>
      <c r="N295" s="9" t="s">
        <v>35</v>
      </c>
      <c r="O295" s="6" t="s">
        <v>204</v>
      </c>
      <c r="P295" s="6" t="s">
        <v>37</v>
      </c>
      <c r="Q295" s="6">
        <v>1</v>
      </c>
      <c r="R295" s="21">
        <f t="shared" si="6"/>
        <v>217844759</v>
      </c>
      <c r="S295" s="21">
        <v>0</v>
      </c>
      <c r="T295" s="20">
        <v>0</v>
      </c>
      <c r="U295" s="20"/>
      <c r="V295" s="20"/>
      <c r="W295" s="20">
        <f>44055538+134224068+39565153</f>
        <v>217844759</v>
      </c>
      <c r="X295" s="20">
        <v>0</v>
      </c>
      <c r="Y295" s="20">
        <v>0</v>
      </c>
      <c r="Z295" s="20">
        <v>0</v>
      </c>
      <c r="AA295" s="20">
        <v>0</v>
      </c>
      <c r="AB295" s="20">
        <v>0</v>
      </c>
      <c r="AC295" s="20">
        <v>0</v>
      </c>
      <c r="AD295" s="20">
        <v>0</v>
      </c>
      <c r="AE295" s="20">
        <v>0</v>
      </c>
      <c r="AF295" s="20">
        <v>0</v>
      </c>
      <c r="AG295" s="20">
        <v>0</v>
      </c>
    </row>
    <row r="296" spans="1:33" ht="45" customHeight="1" x14ac:dyDescent="0.2">
      <c r="A296" s="6">
        <v>3</v>
      </c>
      <c r="B296" s="6" t="s">
        <v>408</v>
      </c>
      <c r="C296" s="6">
        <v>3</v>
      </c>
      <c r="D296" s="6" t="s">
        <v>476</v>
      </c>
      <c r="E296" s="6" t="s">
        <v>477</v>
      </c>
      <c r="F296" s="6" t="s">
        <v>478</v>
      </c>
      <c r="G296" s="6" t="s">
        <v>479</v>
      </c>
      <c r="H296" s="6" t="s">
        <v>669</v>
      </c>
      <c r="I296" s="10">
        <v>2020051290014</v>
      </c>
      <c r="J296" s="6">
        <v>1</v>
      </c>
      <c r="K296" s="6">
        <v>3311</v>
      </c>
      <c r="L296" s="6" t="s">
        <v>488</v>
      </c>
      <c r="M296" s="6" t="s">
        <v>34</v>
      </c>
      <c r="N296" s="9" t="s">
        <v>35</v>
      </c>
      <c r="O296" s="6" t="s">
        <v>204</v>
      </c>
      <c r="P296" s="6" t="s">
        <v>37</v>
      </c>
      <c r="Q296" s="6">
        <v>1</v>
      </c>
      <c r="R296" s="21">
        <f t="shared" si="6"/>
        <v>109745497</v>
      </c>
      <c r="S296" s="21">
        <v>0</v>
      </c>
      <c r="T296" s="20">
        <v>0</v>
      </c>
      <c r="U296" s="20"/>
      <c r="V296" s="20"/>
      <c r="W296" s="20">
        <f>44055538+26124806+39565153</f>
        <v>109745497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0">
        <v>0</v>
      </c>
      <c r="AD296" s="20">
        <v>0</v>
      </c>
      <c r="AE296" s="20">
        <v>0</v>
      </c>
      <c r="AF296" s="20">
        <v>0</v>
      </c>
      <c r="AG296" s="20">
        <v>0</v>
      </c>
    </row>
    <row r="297" spans="1:33" ht="45" customHeight="1" x14ac:dyDescent="0.2">
      <c r="A297" s="6">
        <v>3</v>
      </c>
      <c r="B297" s="6" t="s">
        <v>408</v>
      </c>
      <c r="C297" s="6">
        <v>3</v>
      </c>
      <c r="D297" s="6" t="s">
        <v>476</v>
      </c>
      <c r="E297" s="6" t="s">
        <v>477</v>
      </c>
      <c r="F297" s="6" t="s">
        <v>478</v>
      </c>
      <c r="G297" s="6" t="s">
        <v>479</v>
      </c>
      <c r="H297" s="6" t="s">
        <v>669</v>
      </c>
      <c r="I297" s="10">
        <v>2020051290014</v>
      </c>
      <c r="J297" s="6">
        <v>2</v>
      </c>
      <c r="K297" s="6">
        <v>3312</v>
      </c>
      <c r="L297" s="6" t="s">
        <v>489</v>
      </c>
      <c r="M297" s="6" t="s">
        <v>34</v>
      </c>
      <c r="N297" s="9" t="s">
        <v>35</v>
      </c>
      <c r="O297" s="6" t="s">
        <v>204</v>
      </c>
      <c r="P297" s="6" t="s">
        <v>37</v>
      </c>
      <c r="Q297" s="6">
        <v>1</v>
      </c>
      <c r="R297" s="21">
        <f t="shared" si="6"/>
        <v>125720613</v>
      </c>
      <c r="S297" s="21">
        <v>0</v>
      </c>
      <c r="T297" s="20">
        <v>0</v>
      </c>
      <c r="U297" s="20"/>
      <c r="V297" s="20"/>
      <c r="W297" s="20">
        <f>44055538+42099922+39565153</f>
        <v>125720613</v>
      </c>
      <c r="X297" s="20">
        <v>0</v>
      </c>
      <c r="Y297" s="20">
        <v>0</v>
      </c>
      <c r="Z297" s="20">
        <v>0</v>
      </c>
      <c r="AA297" s="20">
        <v>0</v>
      </c>
      <c r="AB297" s="20">
        <v>0</v>
      </c>
      <c r="AC297" s="20">
        <v>0</v>
      </c>
      <c r="AD297" s="20">
        <v>0</v>
      </c>
      <c r="AE297" s="20">
        <v>0</v>
      </c>
      <c r="AF297" s="20">
        <v>0</v>
      </c>
      <c r="AG297" s="20">
        <v>0</v>
      </c>
    </row>
    <row r="298" spans="1:33" ht="45" customHeight="1" x14ac:dyDescent="0.2">
      <c r="A298" s="6">
        <v>3</v>
      </c>
      <c r="B298" s="6" t="s">
        <v>408</v>
      </c>
      <c r="C298" s="6">
        <v>3</v>
      </c>
      <c r="D298" s="6" t="s">
        <v>476</v>
      </c>
      <c r="E298" s="6" t="s">
        <v>477</v>
      </c>
      <c r="F298" s="6" t="s">
        <v>490</v>
      </c>
      <c r="G298" s="6" t="s">
        <v>491</v>
      </c>
      <c r="H298" s="6" t="s">
        <v>669</v>
      </c>
      <c r="I298" s="10">
        <v>2020051290014</v>
      </c>
      <c r="J298" s="6">
        <v>1</v>
      </c>
      <c r="K298" s="6">
        <v>3321</v>
      </c>
      <c r="L298" s="6" t="s">
        <v>492</v>
      </c>
      <c r="M298" s="6" t="s">
        <v>34</v>
      </c>
      <c r="N298" s="9" t="s">
        <v>179</v>
      </c>
      <c r="O298" s="6" t="s">
        <v>204</v>
      </c>
      <c r="P298" s="6" t="s">
        <v>37</v>
      </c>
      <c r="Q298" s="6">
        <v>1</v>
      </c>
      <c r="R298" s="21">
        <f t="shared" si="6"/>
        <v>231912187</v>
      </c>
      <c r="S298" s="21">
        <v>0</v>
      </c>
      <c r="T298" s="20">
        <v>0</v>
      </c>
      <c r="U298" s="20"/>
      <c r="V298" s="20"/>
      <c r="W298" s="20">
        <f>44055538+148291496+39565153</f>
        <v>231912187</v>
      </c>
      <c r="X298" s="20">
        <v>0</v>
      </c>
      <c r="Y298" s="20">
        <v>0</v>
      </c>
      <c r="Z298" s="20">
        <v>0</v>
      </c>
      <c r="AA298" s="20">
        <v>0</v>
      </c>
      <c r="AB298" s="20">
        <v>0</v>
      </c>
      <c r="AC298" s="20">
        <v>0</v>
      </c>
      <c r="AD298" s="20">
        <v>0</v>
      </c>
      <c r="AE298" s="20">
        <v>0</v>
      </c>
      <c r="AF298" s="20">
        <v>0</v>
      </c>
      <c r="AG298" s="20">
        <v>0</v>
      </c>
    </row>
    <row r="299" spans="1:33" ht="54" customHeight="1" x14ac:dyDescent="0.2">
      <c r="A299" s="6">
        <v>3</v>
      </c>
      <c r="B299" s="6" t="s">
        <v>408</v>
      </c>
      <c r="C299" s="6">
        <v>3</v>
      </c>
      <c r="D299" s="6" t="s">
        <v>476</v>
      </c>
      <c r="E299" s="6" t="s">
        <v>477</v>
      </c>
      <c r="F299" s="6" t="s">
        <v>478</v>
      </c>
      <c r="G299" s="6" t="s">
        <v>479</v>
      </c>
      <c r="H299" s="6" t="s">
        <v>669</v>
      </c>
      <c r="I299" s="10">
        <v>2020051290014</v>
      </c>
      <c r="J299" s="6">
        <v>4</v>
      </c>
      <c r="K299" s="6">
        <v>3314</v>
      </c>
      <c r="L299" s="28" t="s">
        <v>493</v>
      </c>
      <c r="M299" s="6" t="s">
        <v>34</v>
      </c>
      <c r="N299" s="9" t="s">
        <v>35</v>
      </c>
      <c r="O299" s="6" t="s">
        <v>422</v>
      </c>
      <c r="P299" s="6" t="s">
        <v>37</v>
      </c>
      <c r="Q299" s="6">
        <v>1</v>
      </c>
      <c r="R299" s="21">
        <f t="shared" si="6"/>
        <v>35000000</v>
      </c>
      <c r="S299" s="21">
        <v>0</v>
      </c>
      <c r="T299" s="20">
        <v>0</v>
      </c>
      <c r="U299" s="20">
        <v>0</v>
      </c>
      <c r="V299" s="20">
        <v>0</v>
      </c>
      <c r="W299" s="20">
        <v>35000000</v>
      </c>
      <c r="X299" s="20">
        <v>0</v>
      </c>
      <c r="Y299" s="20">
        <v>0</v>
      </c>
      <c r="Z299" s="20">
        <v>0</v>
      </c>
      <c r="AA299" s="20">
        <v>0</v>
      </c>
      <c r="AB299" s="20">
        <v>0</v>
      </c>
      <c r="AC299" s="20">
        <v>0</v>
      </c>
      <c r="AD299" s="20">
        <v>0</v>
      </c>
      <c r="AE299" s="20">
        <v>0</v>
      </c>
      <c r="AF299" s="20">
        <v>0</v>
      </c>
      <c r="AG299" s="20">
        <v>0</v>
      </c>
    </row>
    <row r="300" spans="1:33" ht="72.75" customHeight="1" x14ac:dyDescent="0.2">
      <c r="A300" s="6">
        <v>3</v>
      </c>
      <c r="B300" s="6" t="s">
        <v>408</v>
      </c>
      <c r="C300" s="6">
        <v>3</v>
      </c>
      <c r="D300" s="6" t="s">
        <v>476</v>
      </c>
      <c r="E300" s="6" t="s">
        <v>477</v>
      </c>
      <c r="F300" s="6" t="s">
        <v>478</v>
      </c>
      <c r="G300" s="6" t="s">
        <v>479</v>
      </c>
      <c r="H300" s="6" t="s">
        <v>669</v>
      </c>
      <c r="I300" s="10">
        <v>2020051290014</v>
      </c>
      <c r="J300" s="6">
        <v>6</v>
      </c>
      <c r="K300" s="6">
        <v>3316</v>
      </c>
      <c r="L300" s="28" t="s">
        <v>494</v>
      </c>
      <c r="M300" s="6" t="s">
        <v>34</v>
      </c>
      <c r="N300" s="9" t="s">
        <v>35</v>
      </c>
      <c r="O300" s="6" t="s">
        <v>422</v>
      </c>
      <c r="P300" s="6" t="s">
        <v>37</v>
      </c>
      <c r="Q300" s="6">
        <v>1</v>
      </c>
      <c r="R300" s="21">
        <f t="shared" si="6"/>
        <v>49500000</v>
      </c>
      <c r="S300" s="21">
        <v>0</v>
      </c>
      <c r="T300" s="20">
        <v>0</v>
      </c>
      <c r="U300" s="20">
        <v>0</v>
      </c>
      <c r="V300" s="20">
        <v>0</v>
      </c>
      <c r="W300" s="20">
        <v>49500000</v>
      </c>
      <c r="X300" s="20">
        <v>0</v>
      </c>
      <c r="Y300" s="20">
        <v>0</v>
      </c>
      <c r="Z300" s="20">
        <v>0</v>
      </c>
      <c r="AA300" s="20">
        <v>0</v>
      </c>
      <c r="AB300" s="20">
        <v>0</v>
      </c>
      <c r="AC300" s="20">
        <v>0</v>
      </c>
      <c r="AD300" s="20">
        <v>0</v>
      </c>
      <c r="AE300" s="20">
        <v>0</v>
      </c>
      <c r="AF300" s="20">
        <v>0</v>
      </c>
      <c r="AG300" s="20">
        <v>0</v>
      </c>
    </row>
    <row r="301" spans="1:33" ht="45" customHeight="1" x14ac:dyDescent="0.2">
      <c r="A301" s="6">
        <v>3</v>
      </c>
      <c r="B301" s="6" t="s">
        <v>408</v>
      </c>
      <c r="C301" s="6">
        <v>4</v>
      </c>
      <c r="D301" s="6" t="s">
        <v>495</v>
      </c>
      <c r="E301" s="6" t="s">
        <v>496</v>
      </c>
      <c r="F301" s="6" t="s">
        <v>497</v>
      </c>
      <c r="G301" s="6" t="s">
        <v>498</v>
      </c>
      <c r="H301" s="6" t="s">
        <v>670</v>
      </c>
      <c r="I301" s="10">
        <v>2020051290005</v>
      </c>
      <c r="J301" s="6">
        <v>4</v>
      </c>
      <c r="K301" s="6">
        <v>3414</v>
      </c>
      <c r="L301" s="6" t="s">
        <v>499</v>
      </c>
      <c r="M301" s="6" t="s">
        <v>34</v>
      </c>
      <c r="N301" s="9" t="s">
        <v>35</v>
      </c>
      <c r="O301" s="6" t="s">
        <v>204</v>
      </c>
      <c r="P301" s="6" t="s">
        <v>37</v>
      </c>
      <c r="Q301" s="6">
        <v>1</v>
      </c>
      <c r="R301" s="21">
        <f t="shared" si="6"/>
        <v>120449156</v>
      </c>
      <c r="S301" s="21">
        <v>0</v>
      </c>
      <c r="T301" s="20">
        <v>0</v>
      </c>
      <c r="U301" s="20"/>
      <c r="V301" s="20"/>
      <c r="W301" s="20">
        <f>44055538+36828465+39565153</f>
        <v>120449156</v>
      </c>
      <c r="X301" s="20">
        <v>0</v>
      </c>
      <c r="Y301" s="20">
        <v>0</v>
      </c>
      <c r="Z301" s="20">
        <v>0</v>
      </c>
      <c r="AA301" s="20">
        <v>0</v>
      </c>
      <c r="AB301" s="20">
        <v>0</v>
      </c>
      <c r="AC301" s="20">
        <v>0</v>
      </c>
      <c r="AD301" s="20">
        <v>0</v>
      </c>
      <c r="AE301" s="20">
        <v>0</v>
      </c>
      <c r="AF301" s="20">
        <v>0</v>
      </c>
      <c r="AG301" s="20">
        <v>0</v>
      </c>
    </row>
    <row r="302" spans="1:33" ht="45" customHeight="1" x14ac:dyDescent="0.2">
      <c r="A302" s="6">
        <v>3</v>
      </c>
      <c r="B302" s="6" t="s">
        <v>408</v>
      </c>
      <c r="C302" s="6">
        <v>4</v>
      </c>
      <c r="D302" s="6" t="s">
        <v>495</v>
      </c>
      <c r="E302" s="6" t="s">
        <v>496</v>
      </c>
      <c r="F302" s="6" t="s">
        <v>497</v>
      </c>
      <c r="G302" s="6" t="s">
        <v>498</v>
      </c>
      <c r="H302" s="6" t="s">
        <v>670</v>
      </c>
      <c r="I302" s="10">
        <v>2020051290005</v>
      </c>
      <c r="J302" s="6">
        <v>5</v>
      </c>
      <c r="K302" s="6">
        <v>3415</v>
      </c>
      <c r="L302" s="6" t="s">
        <v>500</v>
      </c>
      <c r="M302" s="6" t="s">
        <v>34</v>
      </c>
      <c r="N302" s="9" t="s">
        <v>35</v>
      </c>
      <c r="O302" s="6" t="s">
        <v>204</v>
      </c>
      <c r="P302" s="6" t="s">
        <v>37</v>
      </c>
      <c r="Q302" s="6">
        <v>1</v>
      </c>
      <c r="R302" s="21">
        <f t="shared" si="6"/>
        <v>109201294</v>
      </c>
      <c r="S302" s="21">
        <v>0</v>
      </c>
      <c r="T302" s="20">
        <v>0</v>
      </c>
      <c r="U302" s="20"/>
      <c r="V302" s="20"/>
      <c r="W302" s="20">
        <f>44055538+25580603+39565153</f>
        <v>109201294</v>
      </c>
      <c r="X302" s="20">
        <v>0</v>
      </c>
      <c r="Y302" s="20">
        <v>0</v>
      </c>
      <c r="Z302" s="20">
        <v>0</v>
      </c>
      <c r="AA302" s="20">
        <v>0</v>
      </c>
      <c r="AB302" s="20">
        <v>0</v>
      </c>
      <c r="AC302" s="20">
        <v>0</v>
      </c>
      <c r="AD302" s="20">
        <v>0</v>
      </c>
      <c r="AE302" s="20">
        <v>0</v>
      </c>
      <c r="AF302" s="20">
        <v>0</v>
      </c>
      <c r="AG302" s="20">
        <v>0</v>
      </c>
    </row>
    <row r="303" spans="1:33" ht="45" customHeight="1" x14ac:dyDescent="0.2">
      <c r="A303" s="6">
        <v>3</v>
      </c>
      <c r="B303" s="6" t="s">
        <v>408</v>
      </c>
      <c r="C303" s="6">
        <v>4</v>
      </c>
      <c r="D303" s="6" t="s">
        <v>495</v>
      </c>
      <c r="E303" s="6" t="s">
        <v>496</v>
      </c>
      <c r="F303" s="6" t="s">
        <v>501</v>
      </c>
      <c r="G303" s="6" t="s">
        <v>502</v>
      </c>
      <c r="H303" s="6" t="s">
        <v>670</v>
      </c>
      <c r="I303" s="10">
        <v>2020051290005</v>
      </c>
      <c r="J303" s="6">
        <v>1</v>
      </c>
      <c r="K303" s="6">
        <v>3421</v>
      </c>
      <c r="L303" s="6" t="s">
        <v>503</v>
      </c>
      <c r="M303" s="6" t="s">
        <v>34</v>
      </c>
      <c r="N303" s="9" t="s">
        <v>35</v>
      </c>
      <c r="O303" s="6" t="s">
        <v>204</v>
      </c>
      <c r="P303" s="45" t="s">
        <v>683</v>
      </c>
      <c r="Q303" s="6">
        <v>1</v>
      </c>
      <c r="R303" s="21">
        <f t="shared" si="6"/>
        <v>983092000</v>
      </c>
      <c r="S303" s="21"/>
      <c r="T303" s="20"/>
      <c r="U303" s="20"/>
      <c r="V303" s="8"/>
      <c r="W303" s="20"/>
      <c r="X303" s="20"/>
      <c r="Y303" s="20">
        <v>983092000</v>
      </c>
      <c r="Z303" s="20"/>
      <c r="AA303" s="20"/>
      <c r="AB303" s="20"/>
      <c r="AC303" s="20"/>
      <c r="AD303" s="20"/>
      <c r="AE303" s="20"/>
      <c r="AF303" s="20"/>
      <c r="AG303" s="20"/>
    </row>
    <row r="304" spans="1:33" ht="45" customHeight="1" x14ac:dyDescent="0.2">
      <c r="A304" s="6">
        <v>3</v>
      </c>
      <c r="B304" s="6" t="s">
        <v>408</v>
      </c>
      <c r="C304" s="6">
        <v>4</v>
      </c>
      <c r="D304" s="6" t="s">
        <v>495</v>
      </c>
      <c r="E304" s="6" t="s">
        <v>496</v>
      </c>
      <c r="F304" s="6" t="s">
        <v>501</v>
      </c>
      <c r="G304" s="6" t="s">
        <v>502</v>
      </c>
      <c r="H304" s="6" t="s">
        <v>670</v>
      </c>
      <c r="I304" s="10">
        <v>2020051290005</v>
      </c>
      <c r="J304" s="6">
        <v>2</v>
      </c>
      <c r="K304" s="6">
        <v>3422</v>
      </c>
      <c r="L304" s="6" t="s">
        <v>504</v>
      </c>
      <c r="M304" s="6" t="s">
        <v>34</v>
      </c>
      <c r="N304" s="9" t="s">
        <v>35</v>
      </c>
      <c r="O304" s="6" t="s">
        <v>204</v>
      </c>
      <c r="P304" s="6" t="s">
        <v>37</v>
      </c>
      <c r="Q304" s="6">
        <v>1</v>
      </c>
      <c r="R304" s="21">
        <f t="shared" ref="R304:R329" si="7">SUM(S304:AG304)</f>
        <v>253615467</v>
      </c>
      <c r="S304" s="21">
        <v>0</v>
      </c>
      <c r="T304" s="20">
        <v>0</v>
      </c>
      <c r="U304" s="20"/>
      <c r="V304" s="20"/>
      <c r="W304" s="20">
        <f>100704884+69289892+44055538+39565153</f>
        <v>253615467</v>
      </c>
      <c r="X304" s="20">
        <v>0</v>
      </c>
      <c r="Y304" s="20">
        <v>0</v>
      </c>
      <c r="Z304" s="20">
        <v>0</v>
      </c>
      <c r="AA304" s="20">
        <v>0</v>
      </c>
      <c r="AB304" s="20">
        <v>0</v>
      </c>
      <c r="AC304" s="20">
        <v>0</v>
      </c>
      <c r="AD304" s="20">
        <v>0</v>
      </c>
      <c r="AE304" s="20">
        <v>0</v>
      </c>
      <c r="AF304" s="20">
        <v>0</v>
      </c>
      <c r="AG304" s="20">
        <v>0</v>
      </c>
    </row>
    <row r="305" spans="1:33" ht="45" customHeight="1" x14ac:dyDescent="0.2">
      <c r="A305" s="6">
        <v>3</v>
      </c>
      <c r="B305" s="6" t="s">
        <v>408</v>
      </c>
      <c r="C305" s="6">
        <v>4</v>
      </c>
      <c r="D305" s="6" t="s">
        <v>495</v>
      </c>
      <c r="E305" s="6" t="s">
        <v>496</v>
      </c>
      <c r="F305" s="6" t="s">
        <v>505</v>
      </c>
      <c r="G305" s="6" t="s">
        <v>506</v>
      </c>
      <c r="H305" s="6" t="s">
        <v>668</v>
      </c>
      <c r="I305" s="10">
        <v>2020051290012</v>
      </c>
      <c r="J305" s="6">
        <v>2</v>
      </c>
      <c r="K305" s="6">
        <v>3442</v>
      </c>
      <c r="L305" s="6" t="s">
        <v>507</v>
      </c>
      <c r="M305" s="6" t="s">
        <v>34</v>
      </c>
      <c r="N305" s="9" t="s">
        <v>35</v>
      </c>
      <c r="O305" s="6" t="s">
        <v>204</v>
      </c>
      <c r="P305" s="6" t="s">
        <v>37</v>
      </c>
      <c r="Q305" s="6">
        <v>1</v>
      </c>
      <c r="R305" s="21">
        <f t="shared" si="7"/>
        <v>423562229</v>
      </c>
      <c r="S305" s="21">
        <v>0</v>
      </c>
      <c r="T305" s="20">
        <v>0</v>
      </c>
      <c r="U305" s="20"/>
      <c r="V305" s="20"/>
      <c r="W305" s="20">
        <f>44055538+339941538+39565153</f>
        <v>423562229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  <c r="AC305" s="20">
        <v>0</v>
      </c>
      <c r="AD305" s="20">
        <v>0</v>
      </c>
      <c r="AE305" s="20">
        <v>0</v>
      </c>
      <c r="AF305" s="20">
        <v>0</v>
      </c>
      <c r="AG305" s="20">
        <v>0</v>
      </c>
    </row>
    <row r="306" spans="1:33" ht="45" customHeight="1" x14ac:dyDescent="0.2">
      <c r="A306" s="6">
        <v>3</v>
      </c>
      <c r="B306" s="6" t="s">
        <v>408</v>
      </c>
      <c r="C306" s="6">
        <v>4</v>
      </c>
      <c r="D306" s="6" t="s">
        <v>495</v>
      </c>
      <c r="E306" s="6" t="s">
        <v>496</v>
      </c>
      <c r="F306" s="6" t="s">
        <v>508</v>
      </c>
      <c r="G306" s="6" t="s">
        <v>509</v>
      </c>
      <c r="H306" s="6" t="s">
        <v>510</v>
      </c>
      <c r="I306" s="10">
        <v>2020051290068</v>
      </c>
      <c r="J306" s="6">
        <v>1</v>
      </c>
      <c r="K306" s="6">
        <v>3431</v>
      </c>
      <c r="L306" s="28" t="s">
        <v>511</v>
      </c>
      <c r="M306" s="6" t="s">
        <v>34</v>
      </c>
      <c r="N306" s="9" t="s">
        <v>35</v>
      </c>
      <c r="O306" s="6" t="s">
        <v>422</v>
      </c>
      <c r="P306" s="6" t="s">
        <v>37</v>
      </c>
      <c r="Q306" s="6">
        <v>1</v>
      </c>
      <c r="R306" s="21">
        <f t="shared" si="7"/>
        <v>44990468</v>
      </c>
      <c r="S306" s="21">
        <v>0</v>
      </c>
      <c r="T306" s="20">
        <v>0</v>
      </c>
      <c r="U306" s="20">
        <v>0</v>
      </c>
      <c r="V306" s="20">
        <v>0</v>
      </c>
      <c r="W306" s="8">
        <f>179450000-44819844-44819844-44819844</f>
        <v>44990468</v>
      </c>
      <c r="X306" s="20">
        <v>0</v>
      </c>
      <c r="Y306" s="20">
        <v>0</v>
      </c>
      <c r="Z306" s="20">
        <v>0</v>
      </c>
      <c r="AA306" s="20">
        <v>0</v>
      </c>
      <c r="AB306" s="20">
        <v>0</v>
      </c>
      <c r="AC306" s="20">
        <v>0</v>
      </c>
      <c r="AD306" s="20">
        <v>0</v>
      </c>
      <c r="AE306" s="20">
        <v>0</v>
      </c>
      <c r="AF306" s="20">
        <v>0</v>
      </c>
      <c r="AG306" s="20">
        <v>0</v>
      </c>
    </row>
    <row r="307" spans="1:33" ht="45" customHeight="1" x14ac:dyDescent="0.2">
      <c r="A307" s="6">
        <v>3</v>
      </c>
      <c r="B307" s="6" t="s">
        <v>408</v>
      </c>
      <c r="C307" s="6">
        <v>4</v>
      </c>
      <c r="D307" s="6" t="s">
        <v>495</v>
      </c>
      <c r="E307" s="6" t="s">
        <v>496</v>
      </c>
      <c r="F307" s="6" t="s">
        <v>508</v>
      </c>
      <c r="G307" s="6" t="s">
        <v>509</v>
      </c>
      <c r="H307" s="6" t="s">
        <v>510</v>
      </c>
      <c r="I307" s="10">
        <v>2020051290068</v>
      </c>
      <c r="J307" s="6">
        <v>2</v>
      </c>
      <c r="K307" s="6">
        <v>3432</v>
      </c>
      <c r="L307" s="28" t="s">
        <v>512</v>
      </c>
      <c r="M307" s="6" t="s">
        <v>34</v>
      </c>
      <c r="N307" s="9" t="s">
        <v>35</v>
      </c>
      <c r="O307" s="6" t="s">
        <v>422</v>
      </c>
      <c r="P307" s="6" t="s">
        <v>37</v>
      </c>
      <c r="Q307" s="6">
        <v>1</v>
      </c>
      <c r="R307" s="21">
        <f t="shared" si="7"/>
        <v>70000000</v>
      </c>
      <c r="S307" s="21">
        <v>0</v>
      </c>
      <c r="T307" s="20">
        <v>0</v>
      </c>
      <c r="U307" s="20">
        <v>0</v>
      </c>
      <c r="V307" s="20">
        <v>0</v>
      </c>
      <c r="W307" s="20">
        <v>70000000</v>
      </c>
      <c r="X307" s="20">
        <v>0</v>
      </c>
      <c r="Y307" s="20">
        <v>0</v>
      </c>
      <c r="Z307" s="20">
        <v>0</v>
      </c>
      <c r="AA307" s="20">
        <v>0</v>
      </c>
      <c r="AB307" s="20">
        <v>0</v>
      </c>
      <c r="AC307" s="20">
        <v>0</v>
      </c>
      <c r="AD307" s="20">
        <v>0</v>
      </c>
      <c r="AE307" s="20">
        <v>0</v>
      </c>
      <c r="AF307" s="20">
        <v>0</v>
      </c>
      <c r="AG307" s="20">
        <v>0</v>
      </c>
    </row>
    <row r="308" spans="1:33" ht="45" customHeight="1" x14ac:dyDescent="0.2">
      <c r="A308" s="6">
        <v>3</v>
      </c>
      <c r="B308" s="6" t="s">
        <v>408</v>
      </c>
      <c r="C308" s="6">
        <v>4</v>
      </c>
      <c r="D308" s="6" t="s">
        <v>495</v>
      </c>
      <c r="E308" s="6" t="s">
        <v>496</v>
      </c>
      <c r="F308" s="6" t="s">
        <v>508</v>
      </c>
      <c r="G308" s="6" t="s">
        <v>509</v>
      </c>
      <c r="H308" s="6" t="s">
        <v>510</v>
      </c>
      <c r="I308" s="10">
        <v>2020051290068</v>
      </c>
      <c r="J308" s="6">
        <v>3</v>
      </c>
      <c r="K308" s="6">
        <v>3433</v>
      </c>
      <c r="L308" s="28" t="s">
        <v>513</v>
      </c>
      <c r="M308" s="6" t="s">
        <v>34</v>
      </c>
      <c r="N308" s="9" t="s">
        <v>35</v>
      </c>
      <c r="O308" s="6" t="s">
        <v>422</v>
      </c>
      <c r="P308" s="6" t="s">
        <v>37</v>
      </c>
      <c r="Q308" s="6">
        <v>1</v>
      </c>
      <c r="R308" s="21">
        <f t="shared" si="7"/>
        <v>46015468</v>
      </c>
      <c r="S308" s="21">
        <v>0</v>
      </c>
      <c r="T308" s="20">
        <v>0</v>
      </c>
      <c r="U308" s="20">
        <v>0</v>
      </c>
      <c r="V308" s="20">
        <v>0</v>
      </c>
      <c r="W308" s="8">
        <f>105475000+75000000-44819844-44819844-44819844</f>
        <v>46015468</v>
      </c>
      <c r="X308" s="20">
        <v>0</v>
      </c>
      <c r="Y308" s="20">
        <v>0</v>
      </c>
      <c r="Z308" s="20">
        <v>0</v>
      </c>
      <c r="AA308" s="20">
        <v>0</v>
      </c>
      <c r="AB308" s="20">
        <v>0</v>
      </c>
      <c r="AC308" s="20">
        <v>0</v>
      </c>
      <c r="AD308" s="20">
        <v>0</v>
      </c>
      <c r="AE308" s="20">
        <v>0</v>
      </c>
      <c r="AF308" s="20">
        <v>0</v>
      </c>
      <c r="AG308" s="20">
        <v>0</v>
      </c>
    </row>
    <row r="309" spans="1:33" ht="45" customHeight="1" x14ac:dyDescent="0.2">
      <c r="A309" s="6">
        <v>3</v>
      </c>
      <c r="B309" s="6" t="s">
        <v>408</v>
      </c>
      <c r="C309" s="6">
        <v>4</v>
      </c>
      <c r="D309" s="6" t="s">
        <v>495</v>
      </c>
      <c r="E309" s="6" t="s">
        <v>496</v>
      </c>
      <c r="F309" s="6" t="s">
        <v>508</v>
      </c>
      <c r="G309" s="6" t="s">
        <v>509</v>
      </c>
      <c r="H309" s="6" t="s">
        <v>510</v>
      </c>
      <c r="I309" s="10">
        <v>2020051290068</v>
      </c>
      <c r="J309" s="6">
        <v>4</v>
      </c>
      <c r="K309" s="6">
        <v>3434</v>
      </c>
      <c r="L309" s="28" t="s">
        <v>514</v>
      </c>
      <c r="M309" s="6" t="s">
        <v>46</v>
      </c>
      <c r="N309" s="9" t="s">
        <v>60</v>
      </c>
      <c r="O309" s="6" t="s">
        <v>422</v>
      </c>
      <c r="P309" s="6" t="s">
        <v>37</v>
      </c>
      <c r="Q309" s="9">
        <v>1</v>
      </c>
      <c r="R309" s="21">
        <f t="shared" si="7"/>
        <v>34900780</v>
      </c>
      <c r="S309" s="21">
        <v>0</v>
      </c>
      <c r="T309" s="20">
        <v>0</v>
      </c>
      <c r="U309" s="20">
        <v>0</v>
      </c>
      <c r="V309" s="20">
        <v>0</v>
      </c>
      <c r="W309" s="20">
        <f>184000000+75000000-44819844-44819844-44819844-44819844-44819844</f>
        <v>34900780</v>
      </c>
      <c r="X309" s="20">
        <v>0</v>
      </c>
      <c r="Y309" s="20">
        <v>0</v>
      </c>
      <c r="Z309" s="20">
        <v>0</v>
      </c>
      <c r="AA309" s="20">
        <v>0</v>
      </c>
      <c r="AB309" s="20">
        <v>0</v>
      </c>
      <c r="AC309" s="20">
        <v>0</v>
      </c>
      <c r="AD309" s="20">
        <v>0</v>
      </c>
      <c r="AE309" s="20">
        <v>0</v>
      </c>
      <c r="AF309" s="20">
        <v>0</v>
      </c>
      <c r="AG309" s="20">
        <v>0</v>
      </c>
    </row>
    <row r="310" spans="1:33" ht="45" customHeight="1" x14ac:dyDescent="0.2">
      <c r="A310" s="6">
        <v>3</v>
      </c>
      <c r="B310" s="6" t="s">
        <v>408</v>
      </c>
      <c r="C310" s="6">
        <v>4</v>
      </c>
      <c r="D310" s="6" t="s">
        <v>495</v>
      </c>
      <c r="E310" s="6" t="s">
        <v>496</v>
      </c>
      <c r="F310" s="6" t="s">
        <v>508</v>
      </c>
      <c r="G310" s="6" t="s">
        <v>509</v>
      </c>
      <c r="H310" s="6" t="s">
        <v>510</v>
      </c>
      <c r="I310" s="10">
        <v>2020051290068</v>
      </c>
      <c r="J310" s="6">
        <v>5</v>
      </c>
      <c r="K310" s="6">
        <v>3435</v>
      </c>
      <c r="L310" s="28" t="s">
        <v>515</v>
      </c>
      <c r="M310" s="6" t="s">
        <v>34</v>
      </c>
      <c r="N310" s="9" t="s">
        <v>35</v>
      </c>
      <c r="O310" s="6" t="s">
        <v>422</v>
      </c>
      <c r="P310" s="6" t="s">
        <v>37</v>
      </c>
      <c r="Q310" s="6">
        <v>1</v>
      </c>
      <c r="R310" s="21">
        <f t="shared" si="7"/>
        <v>60360312</v>
      </c>
      <c r="S310" s="21">
        <v>0</v>
      </c>
      <c r="T310" s="20">
        <v>0</v>
      </c>
      <c r="U310" s="20">
        <v>0</v>
      </c>
      <c r="V310" s="20">
        <v>0</v>
      </c>
      <c r="W310" s="20">
        <f>150000000-44819844-44819844</f>
        <v>60360312</v>
      </c>
      <c r="X310" s="20">
        <v>0</v>
      </c>
      <c r="Y310" s="20">
        <v>0</v>
      </c>
      <c r="Z310" s="20">
        <v>0</v>
      </c>
      <c r="AA310" s="20">
        <v>0</v>
      </c>
      <c r="AB310" s="20">
        <v>0</v>
      </c>
      <c r="AC310" s="20">
        <v>0</v>
      </c>
      <c r="AD310" s="20">
        <v>0</v>
      </c>
      <c r="AE310" s="20">
        <v>0</v>
      </c>
      <c r="AF310" s="20">
        <v>0</v>
      </c>
      <c r="AG310" s="20">
        <v>0</v>
      </c>
    </row>
    <row r="311" spans="1:33" ht="45" customHeight="1" x14ac:dyDescent="0.2">
      <c r="A311" s="6">
        <v>3</v>
      </c>
      <c r="B311" s="6" t="s">
        <v>408</v>
      </c>
      <c r="C311" s="6">
        <v>4</v>
      </c>
      <c r="D311" s="6" t="s">
        <v>495</v>
      </c>
      <c r="E311" s="6" t="s">
        <v>496</v>
      </c>
      <c r="F311" s="6" t="s">
        <v>505</v>
      </c>
      <c r="G311" s="6" t="s">
        <v>506</v>
      </c>
      <c r="H311" s="6" t="s">
        <v>668</v>
      </c>
      <c r="I311" s="10">
        <v>2020051290012</v>
      </c>
      <c r="J311" s="6">
        <v>1</v>
      </c>
      <c r="K311" s="6">
        <v>3441</v>
      </c>
      <c r="L311" s="28" t="s">
        <v>516</v>
      </c>
      <c r="M311" s="6" t="s">
        <v>34</v>
      </c>
      <c r="N311" s="9" t="s">
        <v>35</v>
      </c>
      <c r="O311" s="6" t="s">
        <v>686</v>
      </c>
      <c r="P311" s="6" t="s">
        <v>37</v>
      </c>
      <c r="Q311" s="6">
        <v>1</v>
      </c>
      <c r="R311" s="21">
        <f t="shared" si="7"/>
        <v>2639048000</v>
      </c>
      <c r="S311" s="21">
        <v>0</v>
      </c>
      <c r="T311" s="20">
        <v>0</v>
      </c>
      <c r="U311" s="20">
        <v>0</v>
      </c>
      <c r="V311" s="20">
        <v>0</v>
      </c>
      <c r="W311" s="20">
        <v>2639048000</v>
      </c>
      <c r="X311" s="20">
        <v>0</v>
      </c>
      <c r="Y311" s="20">
        <v>0</v>
      </c>
      <c r="Z311" s="20">
        <v>0</v>
      </c>
      <c r="AA311" s="20">
        <v>0</v>
      </c>
      <c r="AB311" s="20">
        <v>0</v>
      </c>
      <c r="AC311" s="20">
        <v>0</v>
      </c>
      <c r="AD311" s="20">
        <v>0</v>
      </c>
      <c r="AE311" s="20">
        <v>0</v>
      </c>
      <c r="AF311" s="20">
        <v>0</v>
      </c>
      <c r="AG311" s="20">
        <v>0</v>
      </c>
    </row>
    <row r="312" spans="1:33" ht="39" customHeight="1" x14ac:dyDescent="0.2">
      <c r="A312" s="6">
        <v>3</v>
      </c>
      <c r="B312" s="6" t="s">
        <v>408</v>
      </c>
      <c r="C312" s="6">
        <v>5</v>
      </c>
      <c r="D312" s="6" t="s">
        <v>517</v>
      </c>
      <c r="E312" s="6" t="s">
        <v>518</v>
      </c>
      <c r="F312" s="6" t="s">
        <v>519</v>
      </c>
      <c r="G312" s="6" t="s">
        <v>520</v>
      </c>
      <c r="H312" s="6" t="s">
        <v>672</v>
      </c>
      <c r="I312" s="10">
        <v>2020051290007</v>
      </c>
      <c r="J312" s="6">
        <v>1</v>
      </c>
      <c r="K312" s="6">
        <v>3511</v>
      </c>
      <c r="L312" s="6" t="s">
        <v>521</v>
      </c>
      <c r="M312" s="6" t="s">
        <v>34</v>
      </c>
      <c r="N312" s="9" t="s">
        <v>35</v>
      </c>
      <c r="O312" s="6" t="s">
        <v>204</v>
      </c>
      <c r="P312" s="6" t="s">
        <v>37</v>
      </c>
      <c r="Q312" s="6">
        <v>1</v>
      </c>
      <c r="R312" s="21">
        <f t="shared" si="7"/>
        <v>97481391</v>
      </c>
      <c r="S312" s="21">
        <v>0</v>
      </c>
      <c r="T312" s="20">
        <v>0</v>
      </c>
      <c r="U312" s="20"/>
      <c r="V312" s="20"/>
      <c r="W312" s="20">
        <f>44055538+13860700+39565153</f>
        <v>97481391</v>
      </c>
      <c r="X312" s="20">
        <v>0</v>
      </c>
      <c r="Y312" s="20">
        <v>0</v>
      </c>
      <c r="Z312" s="20">
        <v>0</v>
      </c>
      <c r="AA312" s="20">
        <v>0</v>
      </c>
      <c r="AB312" s="20">
        <v>0</v>
      </c>
      <c r="AC312" s="20">
        <v>0</v>
      </c>
      <c r="AD312" s="20">
        <v>0</v>
      </c>
      <c r="AE312" s="20">
        <v>0</v>
      </c>
      <c r="AF312" s="20">
        <v>0</v>
      </c>
      <c r="AG312" s="20">
        <v>0</v>
      </c>
    </row>
    <row r="313" spans="1:33" ht="45" customHeight="1" x14ac:dyDescent="0.2">
      <c r="A313" s="6">
        <v>3</v>
      </c>
      <c r="B313" s="6" t="s">
        <v>408</v>
      </c>
      <c r="C313" s="6">
        <v>5</v>
      </c>
      <c r="D313" s="6" t="s">
        <v>517</v>
      </c>
      <c r="E313" s="6" t="s">
        <v>518</v>
      </c>
      <c r="F313" s="6" t="s">
        <v>522</v>
      </c>
      <c r="G313" s="6" t="s">
        <v>523</v>
      </c>
      <c r="H313" s="6" t="s">
        <v>671</v>
      </c>
      <c r="I313" s="10">
        <v>2020051290013</v>
      </c>
      <c r="J313" s="6">
        <v>3</v>
      </c>
      <c r="K313" s="6">
        <v>3533</v>
      </c>
      <c r="L313" s="6" t="s">
        <v>524</v>
      </c>
      <c r="M313" s="6" t="s">
        <v>34</v>
      </c>
      <c r="N313" s="9" t="s">
        <v>35</v>
      </c>
      <c r="O313" s="6" t="s">
        <v>204</v>
      </c>
      <c r="P313" s="6" t="s">
        <v>37</v>
      </c>
      <c r="Q313" s="6">
        <v>1</v>
      </c>
      <c r="R313" s="21">
        <f t="shared" si="7"/>
        <v>121695691</v>
      </c>
      <c r="S313" s="21">
        <v>0</v>
      </c>
      <c r="T313" s="20">
        <v>0</v>
      </c>
      <c r="U313" s="20"/>
      <c r="V313" s="20"/>
      <c r="W313" s="20">
        <f>44055538+38075000+39565153</f>
        <v>121695691</v>
      </c>
      <c r="X313" s="20">
        <v>0</v>
      </c>
      <c r="Y313" s="20">
        <v>0</v>
      </c>
      <c r="Z313" s="20">
        <v>0</v>
      </c>
      <c r="AA313" s="20">
        <v>0</v>
      </c>
      <c r="AB313" s="20">
        <v>0</v>
      </c>
      <c r="AC313" s="20">
        <v>0</v>
      </c>
      <c r="AD313" s="20">
        <v>0</v>
      </c>
      <c r="AE313" s="20">
        <v>0</v>
      </c>
      <c r="AF313" s="20">
        <v>0</v>
      </c>
      <c r="AG313" s="20">
        <v>0</v>
      </c>
    </row>
    <row r="314" spans="1:33" ht="45" customHeight="1" x14ac:dyDescent="0.2">
      <c r="A314" s="6">
        <v>3</v>
      </c>
      <c r="B314" s="6" t="s">
        <v>408</v>
      </c>
      <c r="C314" s="6">
        <v>5</v>
      </c>
      <c r="D314" s="6" t="s">
        <v>517</v>
      </c>
      <c r="E314" s="6" t="s">
        <v>518</v>
      </c>
      <c r="F314" s="6" t="s">
        <v>522</v>
      </c>
      <c r="G314" s="6" t="s">
        <v>523</v>
      </c>
      <c r="H314" s="6" t="s">
        <v>671</v>
      </c>
      <c r="I314" s="10">
        <v>2020051290013</v>
      </c>
      <c r="J314" s="6">
        <v>3</v>
      </c>
      <c r="K314" s="6">
        <v>3533</v>
      </c>
      <c r="L314" s="6" t="s">
        <v>524</v>
      </c>
      <c r="M314" s="6" t="s">
        <v>34</v>
      </c>
      <c r="N314" s="9" t="s">
        <v>35</v>
      </c>
      <c r="O314" s="6" t="s">
        <v>204</v>
      </c>
      <c r="P314" s="6" t="s">
        <v>52</v>
      </c>
      <c r="Q314" s="6">
        <v>1</v>
      </c>
      <c r="R314" s="21">
        <f t="shared" si="7"/>
        <v>128571156</v>
      </c>
      <c r="S314" s="21">
        <v>0</v>
      </c>
      <c r="T314" s="20">
        <v>0</v>
      </c>
      <c r="U314" s="20">
        <v>0</v>
      </c>
      <c r="V314" s="20">
        <v>0</v>
      </c>
      <c r="W314" s="20">
        <v>0</v>
      </c>
      <c r="X314" s="20">
        <v>0</v>
      </c>
      <c r="Y314" s="20">
        <v>0</v>
      </c>
      <c r="Z314" s="20">
        <v>0</v>
      </c>
      <c r="AA314" s="20">
        <v>0</v>
      </c>
      <c r="AB314" s="20">
        <v>0</v>
      </c>
      <c r="AC314" s="20">
        <v>0</v>
      </c>
      <c r="AD314" s="8">
        <f>22612076+105959080</f>
        <v>128571156</v>
      </c>
      <c r="AE314" s="20">
        <v>0</v>
      </c>
      <c r="AF314" s="20">
        <v>0</v>
      </c>
      <c r="AG314" s="20">
        <v>0</v>
      </c>
    </row>
    <row r="315" spans="1:33" ht="45" customHeight="1" x14ac:dyDescent="0.2">
      <c r="A315" s="6">
        <v>3</v>
      </c>
      <c r="B315" s="6" t="s">
        <v>408</v>
      </c>
      <c r="C315" s="6">
        <v>5</v>
      </c>
      <c r="D315" s="6" t="s">
        <v>517</v>
      </c>
      <c r="E315" s="6" t="s">
        <v>518</v>
      </c>
      <c r="F315" s="6" t="s">
        <v>525</v>
      </c>
      <c r="G315" s="6" t="s">
        <v>526</v>
      </c>
      <c r="H315" s="6" t="s">
        <v>671</v>
      </c>
      <c r="I315" s="10">
        <v>2020051290013</v>
      </c>
      <c r="J315" s="6">
        <v>1</v>
      </c>
      <c r="K315" s="6">
        <v>3541</v>
      </c>
      <c r="L315" s="6" t="s">
        <v>527</v>
      </c>
      <c r="M315" s="6" t="s">
        <v>34</v>
      </c>
      <c r="N315" s="9" t="s">
        <v>35</v>
      </c>
      <c r="O315" s="6" t="s">
        <v>204</v>
      </c>
      <c r="P315" s="6" t="s">
        <v>37</v>
      </c>
      <c r="Q315" s="6">
        <v>2</v>
      </c>
      <c r="R315" s="21">
        <f t="shared" si="7"/>
        <v>185822441</v>
      </c>
      <c r="S315" s="21">
        <v>0</v>
      </c>
      <c r="T315" s="20">
        <v>0</v>
      </c>
      <c r="U315" s="20"/>
      <c r="V315" s="20"/>
      <c r="W315" s="20">
        <f>44055538+102201750+39565153</f>
        <v>185822441</v>
      </c>
      <c r="X315" s="20">
        <v>0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0</v>
      </c>
      <c r="AF315" s="20">
        <v>0</v>
      </c>
      <c r="AG315" s="20">
        <v>0</v>
      </c>
    </row>
    <row r="316" spans="1:33" ht="45" customHeight="1" x14ac:dyDescent="0.2">
      <c r="A316" s="6">
        <v>3</v>
      </c>
      <c r="B316" s="6" t="s">
        <v>408</v>
      </c>
      <c r="C316" s="6">
        <v>5</v>
      </c>
      <c r="D316" s="6" t="s">
        <v>517</v>
      </c>
      <c r="E316" s="6" t="s">
        <v>518</v>
      </c>
      <c r="F316" s="6" t="s">
        <v>525</v>
      </c>
      <c r="G316" s="6" t="s">
        <v>526</v>
      </c>
      <c r="H316" s="6" t="s">
        <v>671</v>
      </c>
      <c r="I316" s="10">
        <v>2020051290013</v>
      </c>
      <c r="J316" s="6">
        <v>1</v>
      </c>
      <c r="K316" s="6">
        <v>3541</v>
      </c>
      <c r="L316" s="6" t="s">
        <v>527</v>
      </c>
      <c r="M316" s="6" t="s">
        <v>34</v>
      </c>
      <c r="N316" s="9" t="s">
        <v>35</v>
      </c>
      <c r="O316" s="6" t="s">
        <v>204</v>
      </c>
      <c r="P316" s="6" t="s">
        <v>37</v>
      </c>
      <c r="Q316" s="6">
        <v>2</v>
      </c>
      <c r="R316" s="21">
        <f t="shared" si="7"/>
        <v>189634077</v>
      </c>
      <c r="S316" s="21">
        <v>0</v>
      </c>
      <c r="T316" s="20">
        <v>0</v>
      </c>
      <c r="U316" s="20"/>
      <c r="V316" s="20"/>
      <c r="W316" s="20">
        <f>44055538+106013386+39565153</f>
        <v>189634077</v>
      </c>
      <c r="X316" s="20">
        <v>0</v>
      </c>
      <c r="Y316" s="20">
        <v>0</v>
      </c>
      <c r="Z316" s="20">
        <v>0</v>
      </c>
      <c r="AA316" s="20">
        <v>0</v>
      </c>
      <c r="AB316" s="20">
        <v>0</v>
      </c>
      <c r="AC316" s="20">
        <v>0</v>
      </c>
      <c r="AD316" s="20">
        <v>0</v>
      </c>
      <c r="AE316" s="20">
        <v>0</v>
      </c>
      <c r="AF316" s="20">
        <v>0</v>
      </c>
      <c r="AG316" s="20">
        <v>0</v>
      </c>
    </row>
    <row r="317" spans="1:33" ht="45" customHeight="1" x14ac:dyDescent="0.2">
      <c r="A317" s="6">
        <v>3</v>
      </c>
      <c r="B317" s="6" t="s">
        <v>408</v>
      </c>
      <c r="C317" s="6">
        <v>5</v>
      </c>
      <c r="D317" s="6" t="s">
        <v>517</v>
      </c>
      <c r="E317" s="6" t="s">
        <v>518</v>
      </c>
      <c r="F317" s="6" t="s">
        <v>525</v>
      </c>
      <c r="G317" s="6" t="s">
        <v>526</v>
      </c>
      <c r="H317" s="6" t="s">
        <v>672</v>
      </c>
      <c r="I317" s="10">
        <v>2020051290007</v>
      </c>
      <c r="J317" s="6">
        <v>4</v>
      </c>
      <c r="K317" s="6">
        <v>3544</v>
      </c>
      <c r="L317" s="6" t="s">
        <v>528</v>
      </c>
      <c r="M317" s="6" t="s">
        <v>34</v>
      </c>
      <c r="N317" s="9" t="s">
        <v>35</v>
      </c>
      <c r="O317" s="6" t="s">
        <v>204</v>
      </c>
      <c r="P317" s="6" t="s">
        <v>37</v>
      </c>
      <c r="Q317" s="6">
        <v>1</v>
      </c>
      <c r="R317" s="21">
        <f t="shared" si="7"/>
        <v>103478321</v>
      </c>
      <c r="S317" s="21">
        <v>0</v>
      </c>
      <c r="T317" s="20">
        <v>0</v>
      </c>
      <c r="U317" s="20"/>
      <c r="V317" s="20"/>
      <c r="W317" s="20">
        <f>44055538+19857630+39565153</f>
        <v>103478321</v>
      </c>
      <c r="X317" s="20">
        <v>0</v>
      </c>
      <c r="Y317" s="20">
        <v>0</v>
      </c>
      <c r="Z317" s="20">
        <v>0</v>
      </c>
      <c r="AA317" s="20">
        <v>0</v>
      </c>
      <c r="AB317" s="20">
        <v>0</v>
      </c>
      <c r="AC317" s="20">
        <v>0</v>
      </c>
      <c r="AD317" s="20">
        <v>0</v>
      </c>
      <c r="AE317" s="20">
        <v>0</v>
      </c>
      <c r="AF317" s="20">
        <v>0</v>
      </c>
      <c r="AG317" s="20">
        <v>0</v>
      </c>
    </row>
    <row r="318" spans="1:33" ht="45" customHeight="1" x14ac:dyDescent="0.2">
      <c r="A318" s="6">
        <v>3</v>
      </c>
      <c r="B318" s="6" t="s">
        <v>408</v>
      </c>
      <c r="C318" s="6">
        <v>5</v>
      </c>
      <c r="D318" s="6" t="s">
        <v>517</v>
      </c>
      <c r="E318" s="6" t="s">
        <v>518</v>
      </c>
      <c r="F318" s="6" t="s">
        <v>525</v>
      </c>
      <c r="G318" s="6" t="s">
        <v>526</v>
      </c>
      <c r="H318" s="6" t="s">
        <v>672</v>
      </c>
      <c r="I318" s="10">
        <v>2020051290007</v>
      </c>
      <c r="J318" s="6">
        <v>5</v>
      </c>
      <c r="K318" s="6">
        <v>3545</v>
      </c>
      <c r="L318" s="6" t="s">
        <v>529</v>
      </c>
      <c r="M318" s="6" t="s">
        <v>34</v>
      </c>
      <c r="N318" s="9" t="s">
        <v>35</v>
      </c>
      <c r="O318" s="6" t="s">
        <v>204</v>
      </c>
      <c r="P318" s="6" t="s">
        <v>37</v>
      </c>
      <c r="Q318" s="6">
        <v>1</v>
      </c>
      <c r="R318" s="21">
        <f t="shared" si="7"/>
        <v>433620691</v>
      </c>
      <c r="S318" s="21">
        <v>0</v>
      </c>
      <c r="T318" s="20">
        <v>0</v>
      </c>
      <c r="U318" s="20"/>
      <c r="V318" s="20"/>
      <c r="W318" s="20">
        <f>44055538+350000000+39565153</f>
        <v>433620691</v>
      </c>
      <c r="X318" s="20">
        <v>0</v>
      </c>
      <c r="Y318" s="20">
        <v>0</v>
      </c>
      <c r="Z318" s="20">
        <v>0</v>
      </c>
      <c r="AA318" s="20">
        <v>0</v>
      </c>
      <c r="AB318" s="20">
        <v>0</v>
      </c>
      <c r="AC318" s="20">
        <v>0</v>
      </c>
      <c r="AD318" s="20">
        <v>0</v>
      </c>
      <c r="AE318" s="20">
        <v>0</v>
      </c>
      <c r="AF318" s="20">
        <v>0</v>
      </c>
      <c r="AG318" s="20">
        <v>0</v>
      </c>
    </row>
    <row r="319" spans="1:33" ht="45" customHeight="1" x14ac:dyDescent="0.2">
      <c r="A319" s="6">
        <v>3</v>
      </c>
      <c r="B319" s="6" t="s">
        <v>408</v>
      </c>
      <c r="C319" s="6">
        <v>5</v>
      </c>
      <c r="D319" s="6" t="s">
        <v>517</v>
      </c>
      <c r="E319" s="6" t="s">
        <v>518</v>
      </c>
      <c r="F319" s="6" t="s">
        <v>525</v>
      </c>
      <c r="G319" s="6" t="s">
        <v>526</v>
      </c>
      <c r="H319" s="6" t="s">
        <v>672</v>
      </c>
      <c r="I319" s="10">
        <v>2020051290007</v>
      </c>
      <c r="J319" s="6">
        <v>6</v>
      </c>
      <c r="K319" s="6">
        <v>3546</v>
      </c>
      <c r="L319" s="6" t="s">
        <v>530</v>
      </c>
      <c r="M319" s="6" t="s">
        <v>34</v>
      </c>
      <c r="N319" s="9" t="s">
        <v>35</v>
      </c>
      <c r="O319" s="6" t="s">
        <v>204</v>
      </c>
      <c r="P319" s="6" t="s">
        <v>52</v>
      </c>
      <c r="Q319" s="6">
        <v>3</v>
      </c>
      <c r="R319" s="21">
        <f t="shared" si="7"/>
        <v>28417292</v>
      </c>
      <c r="S319" s="21">
        <v>0</v>
      </c>
      <c r="T319" s="20">
        <v>0</v>
      </c>
      <c r="U319" s="20">
        <v>0</v>
      </c>
      <c r="V319" s="20">
        <v>0</v>
      </c>
      <c r="W319" s="20">
        <v>0</v>
      </c>
      <c r="X319" s="20">
        <v>0</v>
      </c>
      <c r="Y319" s="20">
        <v>0</v>
      </c>
      <c r="Z319" s="20">
        <v>0</v>
      </c>
      <c r="AA319" s="20">
        <v>0</v>
      </c>
      <c r="AB319" s="20">
        <v>0</v>
      </c>
      <c r="AC319" s="20">
        <v>0</v>
      </c>
      <c r="AD319" s="8">
        <f>22612076+5805216</f>
        <v>28417292</v>
      </c>
      <c r="AE319" s="20">
        <v>0</v>
      </c>
      <c r="AF319" s="20">
        <v>0</v>
      </c>
      <c r="AG319" s="20">
        <v>0</v>
      </c>
    </row>
    <row r="320" spans="1:33" ht="45" customHeight="1" x14ac:dyDescent="0.2">
      <c r="A320" s="6">
        <v>3</v>
      </c>
      <c r="B320" s="6" t="s">
        <v>408</v>
      </c>
      <c r="C320" s="6">
        <v>6</v>
      </c>
      <c r="D320" s="6" t="s">
        <v>531</v>
      </c>
      <c r="E320" s="6" t="s">
        <v>532</v>
      </c>
      <c r="F320" s="6" t="s">
        <v>534</v>
      </c>
      <c r="G320" s="6" t="s">
        <v>535</v>
      </c>
      <c r="H320" s="6" t="s">
        <v>536</v>
      </c>
      <c r="I320" s="7">
        <v>2020051290053</v>
      </c>
      <c r="J320" s="6">
        <v>1</v>
      </c>
      <c r="K320" s="6">
        <v>3621</v>
      </c>
      <c r="L320" s="6" t="s">
        <v>537</v>
      </c>
      <c r="M320" s="6" t="s">
        <v>34</v>
      </c>
      <c r="N320" s="9" t="s">
        <v>35</v>
      </c>
      <c r="O320" s="6" t="s">
        <v>682</v>
      </c>
      <c r="P320" s="6" t="s">
        <v>52</v>
      </c>
      <c r="Q320" s="6">
        <v>1</v>
      </c>
      <c r="R320" s="21">
        <f t="shared" si="7"/>
        <v>84508579</v>
      </c>
      <c r="S320" s="21">
        <v>0</v>
      </c>
      <c r="T320" s="16">
        <v>0</v>
      </c>
      <c r="U320" s="16">
        <v>0</v>
      </c>
      <c r="V320" s="20">
        <v>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16">
        <f>92556579-8048000</f>
        <v>84508579</v>
      </c>
      <c r="AE320" s="16">
        <v>0</v>
      </c>
      <c r="AF320" s="16">
        <v>0</v>
      </c>
      <c r="AG320" s="16">
        <v>0</v>
      </c>
    </row>
    <row r="321" spans="1:33" ht="45" customHeight="1" x14ac:dyDescent="0.2">
      <c r="A321" s="6">
        <v>3</v>
      </c>
      <c r="B321" s="6" t="s">
        <v>408</v>
      </c>
      <c r="C321" s="6">
        <v>6</v>
      </c>
      <c r="D321" s="6" t="s">
        <v>531</v>
      </c>
      <c r="E321" s="6" t="s">
        <v>532</v>
      </c>
      <c r="F321" s="6" t="s">
        <v>534</v>
      </c>
      <c r="G321" s="6" t="s">
        <v>535</v>
      </c>
      <c r="H321" s="6" t="s">
        <v>536</v>
      </c>
      <c r="I321" s="7">
        <v>2020051290053</v>
      </c>
      <c r="J321" s="6">
        <v>2</v>
      </c>
      <c r="K321" s="6">
        <v>3622</v>
      </c>
      <c r="L321" s="6" t="s">
        <v>538</v>
      </c>
      <c r="M321" s="6" t="s">
        <v>34</v>
      </c>
      <c r="N321" s="9" t="s">
        <v>179</v>
      </c>
      <c r="O321" s="6" t="s">
        <v>682</v>
      </c>
      <c r="P321" s="6" t="s">
        <v>37</v>
      </c>
      <c r="Q321" s="6">
        <v>4</v>
      </c>
      <c r="R321" s="21">
        <f t="shared" si="7"/>
        <v>77427033</v>
      </c>
      <c r="S321" s="21">
        <v>0</v>
      </c>
      <c r="T321" s="16">
        <v>0</v>
      </c>
      <c r="U321" s="16">
        <v>0</v>
      </c>
      <c r="V321" s="20">
        <v>0</v>
      </c>
      <c r="W321" s="16">
        <f>62973170+14453863</f>
        <v>77427033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16">
        <v>0</v>
      </c>
    </row>
    <row r="322" spans="1:33" ht="45" customHeight="1" x14ac:dyDescent="0.2">
      <c r="A322" s="6">
        <v>3</v>
      </c>
      <c r="B322" s="6" t="s">
        <v>408</v>
      </c>
      <c r="C322" s="6">
        <v>6</v>
      </c>
      <c r="D322" s="6" t="s">
        <v>531</v>
      </c>
      <c r="E322" s="6" t="s">
        <v>532</v>
      </c>
      <c r="F322" s="6" t="s">
        <v>534</v>
      </c>
      <c r="G322" s="6" t="s">
        <v>535</v>
      </c>
      <c r="H322" s="6" t="s">
        <v>536</v>
      </c>
      <c r="I322" s="7">
        <v>2020051290053</v>
      </c>
      <c r="J322" s="6">
        <v>2</v>
      </c>
      <c r="K322" s="6">
        <v>3622</v>
      </c>
      <c r="L322" s="6" t="s">
        <v>538</v>
      </c>
      <c r="M322" s="6" t="s">
        <v>34</v>
      </c>
      <c r="N322" s="9" t="s">
        <v>179</v>
      </c>
      <c r="O322" s="6" t="s">
        <v>682</v>
      </c>
      <c r="P322" s="6" t="s">
        <v>52</v>
      </c>
      <c r="Q322" s="6">
        <v>4</v>
      </c>
      <c r="R322" s="21">
        <f t="shared" si="7"/>
        <v>77358844</v>
      </c>
      <c r="S322" s="21">
        <v>0</v>
      </c>
      <c r="T322" s="16">
        <v>0</v>
      </c>
      <c r="U322" s="16">
        <v>0</v>
      </c>
      <c r="V322" s="20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0</v>
      </c>
      <c r="AD322" s="16">
        <f>84257469+1149375-8048000</f>
        <v>77358844</v>
      </c>
      <c r="AE322" s="16">
        <v>0</v>
      </c>
      <c r="AF322" s="16">
        <v>0</v>
      </c>
      <c r="AG322" s="16">
        <v>0</v>
      </c>
    </row>
    <row r="323" spans="1:33" ht="45" customHeight="1" x14ac:dyDescent="0.2">
      <c r="A323" s="6">
        <v>3</v>
      </c>
      <c r="B323" s="6" t="s">
        <v>408</v>
      </c>
      <c r="C323" s="6">
        <v>6</v>
      </c>
      <c r="D323" s="6" t="s">
        <v>531</v>
      </c>
      <c r="E323" s="6" t="s">
        <v>532</v>
      </c>
      <c r="F323" s="6" t="s">
        <v>534</v>
      </c>
      <c r="G323" s="6" t="s">
        <v>535</v>
      </c>
      <c r="H323" s="6" t="s">
        <v>536</v>
      </c>
      <c r="I323" s="7">
        <v>2020051290053</v>
      </c>
      <c r="J323" s="6">
        <v>3</v>
      </c>
      <c r="K323" s="6">
        <v>3623</v>
      </c>
      <c r="L323" s="6" t="s">
        <v>539</v>
      </c>
      <c r="M323" s="6" t="s">
        <v>34</v>
      </c>
      <c r="N323" s="9" t="s">
        <v>35</v>
      </c>
      <c r="O323" s="6" t="s">
        <v>682</v>
      </c>
      <c r="P323" s="6" t="s">
        <v>37</v>
      </c>
      <c r="Q323" s="6">
        <v>37</v>
      </c>
      <c r="R323" s="21">
        <f t="shared" si="7"/>
        <v>39138412</v>
      </c>
      <c r="S323" s="21">
        <v>0</v>
      </c>
      <c r="T323" s="16">
        <v>0</v>
      </c>
      <c r="U323" s="16">
        <v>0</v>
      </c>
      <c r="V323" s="20">
        <v>0</v>
      </c>
      <c r="W323" s="16">
        <f>24684549+14453863</f>
        <v>39138412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0</v>
      </c>
      <c r="AD323" s="16">
        <v>0</v>
      </c>
      <c r="AE323" s="16">
        <v>0</v>
      </c>
      <c r="AF323" s="16">
        <v>0</v>
      </c>
      <c r="AG323" s="16">
        <v>0</v>
      </c>
    </row>
    <row r="324" spans="1:33" ht="45" customHeight="1" x14ac:dyDescent="0.2">
      <c r="A324" s="6">
        <v>3</v>
      </c>
      <c r="B324" s="6" t="s">
        <v>408</v>
      </c>
      <c r="C324" s="6">
        <v>6</v>
      </c>
      <c r="D324" s="6" t="s">
        <v>531</v>
      </c>
      <c r="E324" s="6" t="s">
        <v>532</v>
      </c>
      <c r="F324" s="6" t="s">
        <v>534</v>
      </c>
      <c r="G324" s="6" t="s">
        <v>535</v>
      </c>
      <c r="H324" s="6" t="s">
        <v>536</v>
      </c>
      <c r="I324" s="7">
        <v>2020051290053</v>
      </c>
      <c r="J324" s="6">
        <v>4</v>
      </c>
      <c r="K324" s="6">
        <v>3624</v>
      </c>
      <c r="L324" s="6" t="s">
        <v>540</v>
      </c>
      <c r="M324" s="6" t="s">
        <v>34</v>
      </c>
      <c r="N324" s="9" t="s">
        <v>179</v>
      </c>
      <c r="O324" s="6" t="s">
        <v>682</v>
      </c>
      <c r="P324" s="6" t="s">
        <v>37</v>
      </c>
      <c r="Q324" s="6">
        <v>1</v>
      </c>
      <c r="R324" s="21">
        <f t="shared" si="7"/>
        <v>15562581</v>
      </c>
      <c r="S324" s="21">
        <v>0</v>
      </c>
      <c r="T324" s="16">
        <v>0</v>
      </c>
      <c r="U324" s="16">
        <v>0</v>
      </c>
      <c r="V324" s="20">
        <v>0</v>
      </c>
      <c r="W324" s="16">
        <f>1108718+14453863</f>
        <v>15562581</v>
      </c>
      <c r="X324" s="16">
        <v>0</v>
      </c>
      <c r="Y324" s="16">
        <v>0</v>
      </c>
      <c r="Z324" s="16">
        <v>0</v>
      </c>
      <c r="AA324" s="16">
        <v>0</v>
      </c>
      <c r="AB324" s="16">
        <v>0</v>
      </c>
      <c r="AC324" s="16">
        <v>0</v>
      </c>
      <c r="AD324" s="16">
        <v>0</v>
      </c>
      <c r="AE324" s="16">
        <v>0</v>
      </c>
      <c r="AF324" s="16">
        <v>0</v>
      </c>
      <c r="AG324" s="16">
        <v>0</v>
      </c>
    </row>
    <row r="325" spans="1:33" ht="45" customHeight="1" x14ac:dyDescent="0.2">
      <c r="A325" s="6">
        <v>3</v>
      </c>
      <c r="B325" s="6" t="s">
        <v>408</v>
      </c>
      <c r="C325" s="6">
        <v>6</v>
      </c>
      <c r="D325" s="6" t="s">
        <v>531</v>
      </c>
      <c r="E325" s="6" t="s">
        <v>532</v>
      </c>
      <c r="F325" s="6" t="s">
        <v>534</v>
      </c>
      <c r="G325" s="6" t="s">
        <v>535</v>
      </c>
      <c r="H325" s="6" t="s">
        <v>536</v>
      </c>
      <c r="I325" s="7">
        <v>2020051290053</v>
      </c>
      <c r="J325" s="6">
        <v>5</v>
      </c>
      <c r="K325" s="6">
        <v>3625</v>
      </c>
      <c r="L325" s="6" t="s">
        <v>541</v>
      </c>
      <c r="M325" s="6" t="s">
        <v>34</v>
      </c>
      <c r="N325" s="9" t="s">
        <v>35</v>
      </c>
      <c r="O325" s="6" t="s">
        <v>682</v>
      </c>
      <c r="P325" s="6" t="s">
        <v>37</v>
      </c>
      <c r="Q325" s="6">
        <v>250</v>
      </c>
      <c r="R325" s="21">
        <f t="shared" si="7"/>
        <v>19443094</v>
      </c>
      <c r="S325" s="21">
        <v>0</v>
      </c>
      <c r="T325" s="16">
        <v>0</v>
      </c>
      <c r="U325" s="16">
        <v>0</v>
      </c>
      <c r="V325" s="20">
        <v>0</v>
      </c>
      <c r="W325" s="16">
        <f>4989231+14453863</f>
        <v>19443094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0</v>
      </c>
      <c r="AG325" s="16">
        <v>0</v>
      </c>
    </row>
    <row r="326" spans="1:33" ht="45" customHeight="1" x14ac:dyDescent="0.2">
      <c r="A326" s="6">
        <v>3</v>
      </c>
      <c r="B326" s="6" t="s">
        <v>408</v>
      </c>
      <c r="C326" s="6">
        <v>6</v>
      </c>
      <c r="D326" s="6" t="s">
        <v>531</v>
      </c>
      <c r="E326" s="6" t="s">
        <v>532</v>
      </c>
      <c r="F326" s="6" t="s">
        <v>542</v>
      </c>
      <c r="G326" s="6" t="s">
        <v>543</v>
      </c>
      <c r="H326" s="6" t="s">
        <v>536</v>
      </c>
      <c r="I326" s="7">
        <v>2020051290053</v>
      </c>
      <c r="J326" s="6">
        <v>1</v>
      </c>
      <c r="K326" s="6">
        <v>3631</v>
      </c>
      <c r="L326" s="6" t="s">
        <v>544</v>
      </c>
      <c r="M326" s="6" t="s">
        <v>34</v>
      </c>
      <c r="N326" s="9" t="s">
        <v>35</v>
      </c>
      <c r="O326" s="6" t="s">
        <v>682</v>
      </c>
      <c r="P326" s="6" t="s">
        <v>37</v>
      </c>
      <c r="Q326" s="6">
        <v>1</v>
      </c>
      <c r="R326" s="21">
        <f t="shared" si="7"/>
        <v>15563351</v>
      </c>
      <c r="S326" s="21">
        <v>0</v>
      </c>
      <c r="T326" s="16">
        <v>0</v>
      </c>
      <c r="U326" s="16">
        <v>0</v>
      </c>
      <c r="V326" s="20">
        <v>0</v>
      </c>
      <c r="W326" s="16">
        <f>1109488+14453863</f>
        <v>15563351</v>
      </c>
      <c r="X326" s="16">
        <v>0</v>
      </c>
      <c r="Y326" s="16">
        <v>0</v>
      </c>
      <c r="Z326" s="16">
        <v>0</v>
      </c>
      <c r="AA326" s="16">
        <v>0</v>
      </c>
      <c r="AB326" s="16">
        <v>0</v>
      </c>
      <c r="AC326" s="16">
        <v>0</v>
      </c>
      <c r="AD326" s="16">
        <v>0</v>
      </c>
      <c r="AE326" s="16">
        <v>0</v>
      </c>
      <c r="AF326" s="16">
        <v>0</v>
      </c>
      <c r="AG326" s="16">
        <v>0</v>
      </c>
    </row>
    <row r="327" spans="1:33" ht="45" customHeight="1" x14ac:dyDescent="0.2">
      <c r="A327" s="6">
        <v>3</v>
      </c>
      <c r="B327" s="6" t="s">
        <v>408</v>
      </c>
      <c r="C327" s="6">
        <v>6</v>
      </c>
      <c r="D327" s="6" t="s">
        <v>531</v>
      </c>
      <c r="E327" s="6" t="s">
        <v>532</v>
      </c>
      <c r="F327" s="6" t="s">
        <v>542</v>
      </c>
      <c r="G327" s="6" t="s">
        <v>543</v>
      </c>
      <c r="H327" s="6" t="s">
        <v>536</v>
      </c>
      <c r="I327" s="7">
        <v>2020051290053</v>
      </c>
      <c r="J327" s="6">
        <v>2</v>
      </c>
      <c r="K327" s="6">
        <v>3632</v>
      </c>
      <c r="L327" s="6" t="s">
        <v>545</v>
      </c>
      <c r="M327" s="6" t="s">
        <v>34</v>
      </c>
      <c r="N327" s="9" t="s">
        <v>35</v>
      </c>
      <c r="O327" s="6" t="s">
        <v>682</v>
      </c>
      <c r="P327" s="6" t="s">
        <v>37</v>
      </c>
      <c r="Q327" s="6">
        <v>1</v>
      </c>
      <c r="R327" s="21">
        <f t="shared" si="7"/>
        <v>38257575</v>
      </c>
      <c r="S327" s="21">
        <v>0</v>
      </c>
      <c r="T327" s="16">
        <v>0</v>
      </c>
      <c r="U327" s="16">
        <v>0</v>
      </c>
      <c r="V327" s="20">
        <v>0</v>
      </c>
      <c r="W327" s="16">
        <f>19523076+4280636+14453863</f>
        <v>38257575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</row>
    <row r="328" spans="1:33" ht="45" customHeight="1" x14ac:dyDescent="0.2">
      <c r="A328" s="6">
        <v>3</v>
      </c>
      <c r="B328" s="6" t="s">
        <v>408</v>
      </c>
      <c r="C328" s="6">
        <v>6</v>
      </c>
      <c r="D328" s="6" t="s">
        <v>531</v>
      </c>
      <c r="E328" s="6" t="s">
        <v>532</v>
      </c>
      <c r="F328" s="6" t="s">
        <v>542</v>
      </c>
      <c r="G328" s="6" t="s">
        <v>543</v>
      </c>
      <c r="H328" s="6" t="s">
        <v>536</v>
      </c>
      <c r="I328" s="7">
        <v>2020051290053</v>
      </c>
      <c r="J328" s="6">
        <v>4</v>
      </c>
      <c r="K328" s="6">
        <v>3634</v>
      </c>
      <c r="L328" s="6" t="s">
        <v>546</v>
      </c>
      <c r="M328" s="6" t="s">
        <v>34</v>
      </c>
      <c r="N328" s="9" t="s">
        <v>179</v>
      </c>
      <c r="O328" s="6" t="s">
        <v>682</v>
      </c>
      <c r="P328" s="6" t="s">
        <v>37</v>
      </c>
      <c r="Q328" s="6">
        <v>2</v>
      </c>
      <c r="R328" s="21">
        <f t="shared" si="7"/>
        <v>24645832</v>
      </c>
      <c r="S328" s="21">
        <v>0</v>
      </c>
      <c r="T328" s="16">
        <v>0</v>
      </c>
      <c r="U328" s="16">
        <v>0</v>
      </c>
      <c r="V328" s="20">
        <v>0</v>
      </c>
      <c r="W328" s="16">
        <f>10191969+14453863</f>
        <v>24645832</v>
      </c>
      <c r="X328" s="16">
        <v>0</v>
      </c>
      <c r="Y328" s="16">
        <v>0</v>
      </c>
      <c r="Z328" s="16">
        <v>0</v>
      </c>
      <c r="AA328" s="16">
        <v>0</v>
      </c>
      <c r="AB328" s="16">
        <v>0</v>
      </c>
      <c r="AC328" s="16">
        <v>0</v>
      </c>
      <c r="AD328" s="16">
        <v>0</v>
      </c>
      <c r="AE328" s="16">
        <v>0</v>
      </c>
      <c r="AF328" s="16">
        <v>0</v>
      </c>
      <c r="AG328" s="16">
        <v>0</v>
      </c>
    </row>
    <row r="329" spans="1:33" ht="45" customHeight="1" x14ac:dyDescent="0.2">
      <c r="A329" s="6">
        <v>3</v>
      </c>
      <c r="B329" s="6" t="s">
        <v>408</v>
      </c>
      <c r="C329" s="6">
        <v>6</v>
      </c>
      <c r="D329" s="6" t="s">
        <v>531</v>
      </c>
      <c r="E329" s="6" t="s">
        <v>532</v>
      </c>
      <c r="F329" s="6" t="s">
        <v>542</v>
      </c>
      <c r="G329" s="6" t="s">
        <v>543</v>
      </c>
      <c r="H329" s="6" t="s">
        <v>536</v>
      </c>
      <c r="I329" s="10">
        <v>2020051290053</v>
      </c>
      <c r="J329" s="6">
        <v>3</v>
      </c>
      <c r="K329" s="6">
        <v>3633</v>
      </c>
      <c r="L329" s="6" t="s">
        <v>547</v>
      </c>
      <c r="M329" s="6" t="s">
        <v>34</v>
      </c>
      <c r="N329" s="9" t="s">
        <v>35</v>
      </c>
      <c r="O329" s="6" t="s">
        <v>677</v>
      </c>
      <c r="P329" s="6" t="s">
        <v>37</v>
      </c>
      <c r="Q329" s="6">
        <v>1</v>
      </c>
      <c r="R329" s="21">
        <f t="shared" si="7"/>
        <v>24123076</v>
      </c>
      <c r="S329" s="21">
        <v>0</v>
      </c>
      <c r="T329" s="20">
        <v>0</v>
      </c>
      <c r="U329" s="20">
        <v>0</v>
      </c>
      <c r="V329" s="20">
        <v>0</v>
      </c>
      <c r="W329" s="20">
        <v>24123076</v>
      </c>
      <c r="X329" s="20">
        <v>0</v>
      </c>
      <c r="Y329" s="20">
        <v>0</v>
      </c>
      <c r="Z329" s="20">
        <v>0</v>
      </c>
      <c r="AA329" s="20">
        <v>0</v>
      </c>
      <c r="AB329" s="20">
        <v>0</v>
      </c>
      <c r="AC329" s="20">
        <v>0</v>
      </c>
      <c r="AD329" s="20">
        <v>0</v>
      </c>
      <c r="AE329" s="20">
        <v>0</v>
      </c>
      <c r="AF329" s="20">
        <v>0</v>
      </c>
      <c r="AG329" s="20">
        <v>0</v>
      </c>
    </row>
    <row r="330" spans="1:33" ht="45" customHeight="1" x14ac:dyDescent="0.2">
      <c r="A330" s="6">
        <v>3</v>
      </c>
      <c r="B330" s="6" t="s">
        <v>408</v>
      </c>
      <c r="C330" s="6">
        <v>6</v>
      </c>
      <c r="D330" s="6" t="s">
        <v>531</v>
      </c>
      <c r="E330" s="6" t="s">
        <v>532</v>
      </c>
      <c r="F330" s="6" t="s">
        <v>533</v>
      </c>
      <c r="G330" s="6" t="s">
        <v>548</v>
      </c>
      <c r="H330" s="6" t="s">
        <v>666</v>
      </c>
      <c r="I330" s="10">
        <v>2020051290015</v>
      </c>
      <c r="J330" s="6">
        <v>1</v>
      </c>
      <c r="K330" s="6">
        <v>3611</v>
      </c>
      <c r="L330" s="6" t="s">
        <v>549</v>
      </c>
      <c r="M330" s="6" t="s">
        <v>34</v>
      </c>
      <c r="N330" s="9" t="s">
        <v>35</v>
      </c>
      <c r="O330" s="6" t="s">
        <v>204</v>
      </c>
      <c r="P330" s="6" t="s">
        <v>37</v>
      </c>
      <c r="Q330" s="6">
        <v>1</v>
      </c>
      <c r="R330" s="21">
        <f t="shared" ref="R330:R375" si="8">SUM(S330:AG330)</f>
        <v>138620691</v>
      </c>
      <c r="S330" s="21">
        <v>0</v>
      </c>
      <c r="T330" s="20">
        <v>0</v>
      </c>
      <c r="U330" s="20"/>
      <c r="V330" s="20"/>
      <c r="W330" s="20">
        <f>44055538+55000000+39565153</f>
        <v>138620691</v>
      </c>
      <c r="X330" s="20">
        <v>0</v>
      </c>
      <c r="Y330" s="20">
        <v>0</v>
      </c>
      <c r="Z330" s="20">
        <v>0</v>
      </c>
      <c r="AA330" s="20">
        <v>0</v>
      </c>
      <c r="AB330" s="20">
        <v>0</v>
      </c>
      <c r="AC330" s="20">
        <v>0</v>
      </c>
      <c r="AD330" s="20">
        <v>0</v>
      </c>
      <c r="AE330" s="20">
        <v>0</v>
      </c>
      <c r="AF330" s="20">
        <v>0</v>
      </c>
      <c r="AG330" s="20">
        <v>0</v>
      </c>
    </row>
    <row r="331" spans="1:33" ht="60" customHeight="1" x14ac:dyDescent="0.2">
      <c r="A331" s="6">
        <v>4</v>
      </c>
      <c r="B331" s="6" t="s">
        <v>550</v>
      </c>
      <c r="C331" s="6">
        <v>1</v>
      </c>
      <c r="D331" s="6" t="s">
        <v>551</v>
      </c>
      <c r="E331" s="6" t="s">
        <v>552</v>
      </c>
      <c r="F331" s="6" t="s">
        <v>553</v>
      </c>
      <c r="G331" s="6" t="s">
        <v>554</v>
      </c>
      <c r="H331" s="6" t="s">
        <v>127</v>
      </c>
      <c r="I331" s="7">
        <v>2020051290052</v>
      </c>
      <c r="J331" s="6">
        <v>1</v>
      </c>
      <c r="K331" s="6">
        <v>4111</v>
      </c>
      <c r="L331" s="6" t="s">
        <v>555</v>
      </c>
      <c r="M331" s="6" t="s">
        <v>34</v>
      </c>
      <c r="N331" s="9" t="s">
        <v>35</v>
      </c>
      <c r="O331" s="6" t="s">
        <v>682</v>
      </c>
      <c r="P331" s="6" t="s">
        <v>37</v>
      </c>
      <c r="Q331" s="6">
        <v>1</v>
      </c>
      <c r="R331" s="21">
        <f t="shared" si="8"/>
        <v>32453863</v>
      </c>
      <c r="S331" s="21">
        <v>0</v>
      </c>
      <c r="T331" s="16">
        <v>0</v>
      </c>
      <c r="U331" s="16">
        <v>0</v>
      </c>
      <c r="V331" s="20">
        <v>0</v>
      </c>
      <c r="W331" s="16">
        <f>18000000+14453863</f>
        <v>32453863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  <c r="AC331" s="16">
        <v>0</v>
      </c>
      <c r="AD331" s="16">
        <v>0</v>
      </c>
      <c r="AE331" s="16">
        <v>0</v>
      </c>
      <c r="AF331" s="16">
        <v>0</v>
      </c>
      <c r="AG331" s="16">
        <v>0</v>
      </c>
    </row>
    <row r="332" spans="1:33" ht="45" customHeight="1" x14ac:dyDescent="0.2">
      <c r="A332" s="6">
        <v>4</v>
      </c>
      <c r="B332" s="6" t="s">
        <v>550</v>
      </c>
      <c r="C332" s="6">
        <v>1</v>
      </c>
      <c r="D332" s="6" t="s">
        <v>551</v>
      </c>
      <c r="E332" s="6" t="s">
        <v>552</v>
      </c>
      <c r="F332" s="6" t="s">
        <v>553</v>
      </c>
      <c r="G332" s="6" t="s">
        <v>554</v>
      </c>
      <c r="H332" s="6" t="s">
        <v>127</v>
      </c>
      <c r="I332" s="7">
        <v>2020051290052</v>
      </c>
      <c r="J332" s="6">
        <v>2</v>
      </c>
      <c r="K332" s="6">
        <v>4112</v>
      </c>
      <c r="L332" s="6" t="s">
        <v>556</v>
      </c>
      <c r="M332" s="6" t="s">
        <v>34</v>
      </c>
      <c r="N332" s="9" t="s">
        <v>35</v>
      </c>
      <c r="O332" s="6" t="s">
        <v>682</v>
      </c>
      <c r="P332" s="6" t="s">
        <v>37</v>
      </c>
      <c r="Q332" s="6">
        <v>1</v>
      </c>
      <c r="R332" s="21">
        <f t="shared" si="8"/>
        <v>37453863</v>
      </c>
      <c r="S332" s="21">
        <v>0</v>
      </c>
      <c r="T332" s="16">
        <v>0</v>
      </c>
      <c r="U332" s="16">
        <v>0</v>
      </c>
      <c r="V332" s="20">
        <v>0</v>
      </c>
      <c r="W332" s="16">
        <f>23000000+14453863</f>
        <v>37453863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0</v>
      </c>
      <c r="AD332" s="16">
        <v>0</v>
      </c>
      <c r="AE332" s="16">
        <v>0</v>
      </c>
      <c r="AF332" s="16">
        <v>0</v>
      </c>
      <c r="AG332" s="16">
        <v>0</v>
      </c>
    </row>
    <row r="333" spans="1:33" ht="45" customHeight="1" x14ac:dyDescent="0.2">
      <c r="A333" s="6">
        <v>4</v>
      </c>
      <c r="B333" s="6" t="s">
        <v>550</v>
      </c>
      <c r="C333" s="6">
        <v>1</v>
      </c>
      <c r="D333" s="6" t="s">
        <v>551</v>
      </c>
      <c r="E333" s="6" t="s">
        <v>552</v>
      </c>
      <c r="F333" s="6" t="s">
        <v>553</v>
      </c>
      <c r="G333" s="6" t="s">
        <v>554</v>
      </c>
      <c r="H333" s="6" t="s">
        <v>127</v>
      </c>
      <c r="I333" s="7">
        <v>2020051290052</v>
      </c>
      <c r="J333" s="6">
        <v>3</v>
      </c>
      <c r="K333" s="6">
        <v>4113</v>
      </c>
      <c r="L333" s="6" t="s">
        <v>557</v>
      </c>
      <c r="M333" s="6" t="s">
        <v>46</v>
      </c>
      <c r="N333" s="9" t="s">
        <v>60</v>
      </c>
      <c r="O333" s="6" t="s">
        <v>682</v>
      </c>
      <c r="P333" s="6" t="s">
        <v>37</v>
      </c>
      <c r="Q333" s="9">
        <v>1</v>
      </c>
      <c r="R333" s="21">
        <f t="shared" si="8"/>
        <v>24453863</v>
      </c>
      <c r="S333" s="21">
        <v>0</v>
      </c>
      <c r="T333" s="16">
        <v>0</v>
      </c>
      <c r="U333" s="16">
        <v>0</v>
      </c>
      <c r="V333" s="20">
        <v>0</v>
      </c>
      <c r="W333" s="16">
        <f>10000000+14453863</f>
        <v>24453863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</row>
    <row r="334" spans="1:33" ht="45" customHeight="1" x14ac:dyDescent="0.2">
      <c r="A334" s="6">
        <v>4</v>
      </c>
      <c r="B334" s="6" t="s">
        <v>550</v>
      </c>
      <c r="C334" s="6">
        <v>1</v>
      </c>
      <c r="D334" s="6" t="s">
        <v>551</v>
      </c>
      <c r="E334" s="6" t="s">
        <v>552</v>
      </c>
      <c r="F334" s="6" t="s">
        <v>558</v>
      </c>
      <c r="G334" s="6" t="s">
        <v>559</v>
      </c>
      <c r="H334" s="6" t="s">
        <v>127</v>
      </c>
      <c r="I334" s="7">
        <v>2020051290052</v>
      </c>
      <c r="J334" s="6">
        <v>1</v>
      </c>
      <c r="K334" s="6">
        <v>4121</v>
      </c>
      <c r="L334" s="6" t="s">
        <v>560</v>
      </c>
      <c r="M334" s="6" t="s">
        <v>46</v>
      </c>
      <c r="N334" s="9" t="s">
        <v>60</v>
      </c>
      <c r="O334" s="6" t="s">
        <v>682</v>
      </c>
      <c r="P334" s="6" t="s">
        <v>37</v>
      </c>
      <c r="Q334" s="9">
        <v>1</v>
      </c>
      <c r="R334" s="21">
        <f t="shared" si="8"/>
        <v>36053863</v>
      </c>
      <c r="S334" s="21">
        <v>0</v>
      </c>
      <c r="T334" s="16">
        <v>0</v>
      </c>
      <c r="U334" s="16">
        <v>0</v>
      </c>
      <c r="V334" s="20">
        <v>0</v>
      </c>
      <c r="W334" s="16">
        <f>21600000+14453863</f>
        <v>36053863</v>
      </c>
      <c r="X334" s="16">
        <v>0</v>
      </c>
      <c r="Y334" s="16">
        <v>0</v>
      </c>
      <c r="Z334" s="16">
        <v>0</v>
      </c>
      <c r="AA334" s="16">
        <v>0</v>
      </c>
      <c r="AB334" s="16">
        <v>0</v>
      </c>
      <c r="AC334" s="16">
        <v>0</v>
      </c>
      <c r="AD334" s="16">
        <v>0</v>
      </c>
      <c r="AE334" s="16">
        <v>0</v>
      </c>
      <c r="AF334" s="16">
        <v>0</v>
      </c>
      <c r="AG334" s="16">
        <v>0</v>
      </c>
    </row>
    <row r="335" spans="1:33" ht="45" customHeight="1" x14ac:dyDescent="0.2">
      <c r="A335" s="6">
        <v>4</v>
      </c>
      <c r="B335" s="6" t="s">
        <v>550</v>
      </c>
      <c r="C335" s="6">
        <v>1</v>
      </c>
      <c r="D335" s="6" t="s">
        <v>551</v>
      </c>
      <c r="E335" s="6" t="s">
        <v>552</v>
      </c>
      <c r="F335" s="6" t="s">
        <v>558</v>
      </c>
      <c r="G335" s="6" t="s">
        <v>559</v>
      </c>
      <c r="H335" s="6" t="s">
        <v>127</v>
      </c>
      <c r="I335" s="7">
        <v>2020051290052</v>
      </c>
      <c r="J335" s="6">
        <v>2</v>
      </c>
      <c r="K335" s="6">
        <v>4122</v>
      </c>
      <c r="L335" s="6" t="s">
        <v>561</v>
      </c>
      <c r="M335" s="6" t="s">
        <v>34</v>
      </c>
      <c r="N335" s="9" t="s">
        <v>35</v>
      </c>
      <c r="O335" s="6" t="s">
        <v>682</v>
      </c>
      <c r="P335" s="6" t="s">
        <v>37</v>
      </c>
      <c r="Q335" s="6">
        <v>1</v>
      </c>
      <c r="R335" s="21">
        <f t="shared" si="8"/>
        <v>22453863</v>
      </c>
      <c r="S335" s="21">
        <v>0</v>
      </c>
      <c r="T335" s="16">
        <v>0</v>
      </c>
      <c r="U335" s="16">
        <v>0</v>
      </c>
      <c r="V335" s="20">
        <v>0</v>
      </c>
      <c r="W335" s="16">
        <f>8000000+14453863</f>
        <v>22453863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16">
        <v>0</v>
      </c>
      <c r="AE335" s="16">
        <v>0</v>
      </c>
      <c r="AF335" s="16">
        <v>0</v>
      </c>
      <c r="AG335" s="16">
        <v>0</v>
      </c>
    </row>
    <row r="336" spans="1:33" ht="45" customHeight="1" x14ac:dyDescent="0.2">
      <c r="A336" s="6">
        <v>4</v>
      </c>
      <c r="B336" s="6" t="s">
        <v>550</v>
      </c>
      <c r="C336" s="6">
        <v>1</v>
      </c>
      <c r="D336" s="6" t="s">
        <v>551</v>
      </c>
      <c r="E336" s="6" t="s">
        <v>552</v>
      </c>
      <c r="F336" s="6" t="s">
        <v>558</v>
      </c>
      <c r="G336" s="6" t="s">
        <v>559</v>
      </c>
      <c r="H336" s="6" t="s">
        <v>127</v>
      </c>
      <c r="I336" s="7">
        <v>2020051290052</v>
      </c>
      <c r="J336" s="6">
        <v>3</v>
      </c>
      <c r="K336" s="6">
        <v>4123</v>
      </c>
      <c r="L336" s="6" t="s">
        <v>562</v>
      </c>
      <c r="M336" s="6" t="s">
        <v>34</v>
      </c>
      <c r="N336" s="9" t="s">
        <v>35</v>
      </c>
      <c r="O336" s="6" t="s">
        <v>682</v>
      </c>
      <c r="P336" s="6" t="s">
        <v>37</v>
      </c>
      <c r="Q336" s="6">
        <v>1</v>
      </c>
      <c r="R336" s="21">
        <f t="shared" si="8"/>
        <v>24453863</v>
      </c>
      <c r="S336" s="21">
        <v>0</v>
      </c>
      <c r="T336" s="16">
        <v>0</v>
      </c>
      <c r="U336" s="16">
        <v>0</v>
      </c>
      <c r="V336" s="20">
        <v>0</v>
      </c>
      <c r="W336" s="16">
        <f>10000000+14453863</f>
        <v>24453863</v>
      </c>
      <c r="X336" s="16">
        <v>0</v>
      </c>
      <c r="Y336" s="16">
        <v>0</v>
      </c>
      <c r="Z336" s="16">
        <v>0</v>
      </c>
      <c r="AA336" s="16">
        <v>0</v>
      </c>
      <c r="AB336" s="16">
        <v>0</v>
      </c>
      <c r="AC336" s="16">
        <v>0</v>
      </c>
      <c r="AD336" s="16">
        <v>0</v>
      </c>
      <c r="AE336" s="16">
        <v>0</v>
      </c>
      <c r="AF336" s="16">
        <v>0</v>
      </c>
      <c r="AG336" s="16">
        <v>0</v>
      </c>
    </row>
    <row r="337" spans="1:33" ht="45" customHeight="1" x14ac:dyDescent="0.2">
      <c r="A337" s="6">
        <v>4</v>
      </c>
      <c r="B337" s="6" t="s">
        <v>550</v>
      </c>
      <c r="C337" s="6">
        <v>1</v>
      </c>
      <c r="D337" s="6" t="s">
        <v>551</v>
      </c>
      <c r="E337" s="6" t="s">
        <v>552</v>
      </c>
      <c r="F337" s="6" t="s">
        <v>563</v>
      </c>
      <c r="G337" s="6" t="s">
        <v>564</v>
      </c>
      <c r="H337" s="6" t="s">
        <v>127</v>
      </c>
      <c r="I337" s="7">
        <v>2020051290052</v>
      </c>
      <c r="J337" s="6">
        <v>1</v>
      </c>
      <c r="K337" s="6">
        <v>4131</v>
      </c>
      <c r="L337" s="6" t="s">
        <v>565</v>
      </c>
      <c r="M337" s="6" t="s">
        <v>34</v>
      </c>
      <c r="N337" s="9" t="s">
        <v>35</v>
      </c>
      <c r="O337" s="6" t="s">
        <v>682</v>
      </c>
      <c r="P337" s="6" t="s">
        <v>37</v>
      </c>
      <c r="Q337" s="6">
        <v>1</v>
      </c>
      <c r="R337" s="21">
        <f t="shared" si="8"/>
        <v>34453863</v>
      </c>
      <c r="S337" s="21">
        <v>0</v>
      </c>
      <c r="T337" s="16">
        <v>0</v>
      </c>
      <c r="U337" s="16">
        <v>0</v>
      </c>
      <c r="V337" s="20">
        <v>0</v>
      </c>
      <c r="W337" s="16">
        <f>20000000+14453863</f>
        <v>34453863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E337" s="16">
        <v>0</v>
      </c>
      <c r="AF337" s="16">
        <v>0</v>
      </c>
      <c r="AG337" s="16">
        <v>0</v>
      </c>
    </row>
    <row r="338" spans="1:33" ht="45" customHeight="1" x14ac:dyDescent="0.2">
      <c r="A338" s="6">
        <v>4</v>
      </c>
      <c r="B338" s="6" t="s">
        <v>550</v>
      </c>
      <c r="C338" s="6">
        <v>1</v>
      </c>
      <c r="D338" s="6" t="s">
        <v>551</v>
      </c>
      <c r="E338" s="6" t="s">
        <v>552</v>
      </c>
      <c r="F338" s="6" t="s">
        <v>563</v>
      </c>
      <c r="G338" s="6" t="s">
        <v>564</v>
      </c>
      <c r="H338" s="6" t="s">
        <v>127</v>
      </c>
      <c r="I338" s="7">
        <v>2020051290052</v>
      </c>
      <c r="J338" s="6">
        <v>2</v>
      </c>
      <c r="K338" s="6">
        <v>4132</v>
      </c>
      <c r="L338" s="6" t="s">
        <v>566</v>
      </c>
      <c r="M338" s="6" t="s">
        <v>34</v>
      </c>
      <c r="N338" s="9" t="s">
        <v>35</v>
      </c>
      <c r="O338" s="6" t="s">
        <v>682</v>
      </c>
      <c r="P338" s="6" t="s">
        <v>37</v>
      </c>
      <c r="Q338" s="6">
        <v>4</v>
      </c>
      <c r="R338" s="21">
        <f t="shared" si="8"/>
        <v>47943891</v>
      </c>
      <c r="S338" s="21">
        <v>0</v>
      </c>
      <c r="T338" s="16">
        <v>0</v>
      </c>
      <c r="U338" s="16">
        <v>0</v>
      </c>
      <c r="V338" s="20">
        <v>0</v>
      </c>
      <c r="W338" s="16">
        <f>33490000+14453863+28</f>
        <v>47943891</v>
      </c>
      <c r="X338" s="16">
        <v>0</v>
      </c>
      <c r="Y338" s="16">
        <v>0</v>
      </c>
      <c r="Z338" s="16">
        <v>0</v>
      </c>
      <c r="AA338" s="16">
        <v>0</v>
      </c>
      <c r="AB338" s="16">
        <v>0</v>
      </c>
      <c r="AC338" s="16">
        <v>0</v>
      </c>
      <c r="AD338" s="16">
        <v>0</v>
      </c>
      <c r="AE338" s="16">
        <v>0</v>
      </c>
      <c r="AF338" s="16">
        <v>0</v>
      </c>
      <c r="AG338" s="16">
        <v>0</v>
      </c>
    </row>
    <row r="339" spans="1:33" ht="45" customHeight="1" x14ac:dyDescent="0.2">
      <c r="A339" s="6">
        <v>4</v>
      </c>
      <c r="B339" s="6" t="s">
        <v>550</v>
      </c>
      <c r="C339" s="6">
        <v>2</v>
      </c>
      <c r="D339" s="6" t="s">
        <v>567</v>
      </c>
      <c r="E339" s="6" t="s">
        <v>568</v>
      </c>
      <c r="F339" s="6" t="s">
        <v>569</v>
      </c>
      <c r="G339" s="6" t="s">
        <v>570</v>
      </c>
      <c r="H339" s="6" t="s">
        <v>666</v>
      </c>
      <c r="I339" s="10">
        <v>2020051290015</v>
      </c>
      <c r="J339" s="6">
        <v>7</v>
      </c>
      <c r="K339" s="6">
        <v>4217</v>
      </c>
      <c r="L339" s="6" t="s">
        <v>571</v>
      </c>
      <c r="M339" s="6" t="s">
        <v>34</v>
      </c>
      <c r="N339" s="9" t="s">
        <v>35</v>
      </c>
      <c r="O339" s="6" t="s">
        <v>204</v>
      </c>
      <c r="P339" s="6" t="s">
        <v>52</v>
      </c>
      <c r="Q339" s="6">
        <v>1</v>
      </c>
      <c r="R339" s="21">
        <f t="shared" si="8"/>
        <v>124571042</v>
      </c>
      <c r="S339" s="21">
        <v>0</v>
      </c>
      <c r="T339" s="20">
        <v>0</v>
      </c>
      <c r="U339" s="20">
        <v>0</v>
      </c>
      <c r="V339" s="20">
        <v>0</v>
      </c>
      <c r="W339" s="20">
        <v>0</v>
      </c>
      <c r="X339" s="20">
        <v>0</v>
      </c>
      <c r="Y339" s="20">
        <v>0</v>
      </c>
      <c r="Z339" s="20">
        <v>0</v>
      </c>
      <c r="AA339" s="20">
        <v>0</v>
      </c>
      <c r="AB339" s="20">
        <v>0</v>
      </c>
      <c r="AC339" s="20">
        <v>0</v>
      </c>
      <c r="AD339" s="8">
        <f>121958966-20000000+22612076</f>
        <v>124571042</v>
      </c>
      <c r="AE339" s="20">
        <v>0</v>
      </c>
      <c r="AF339" s="20">
        <v>0</v>
      </c>
      <c r="AG339" s="20">
        <v>0</v>
      </c>
    </row>
    <row r="340" spans="1:33" ht="60" customHeight="1" x14ac:dyDescent="0.2">
      <c r="A340" s="6">
        <v>4</v>
      </c>
      <c r="B340" s="6" t="s">
        <v>550</v>
      </c>
      <c r="C340" s="6">
        <v>2</v>
      </c>
      <c r="D340" s="6" t="s">
        <v>567</v>
      </c>
      <c r="E340" s="6" t="s">
        <v>568</v>
      </c>
      <c r="F340" s="6" t="s">
        <v>569</v>
      </c>
      <c r="G340" s="6" t="s">
        <v>570</v>
      </c>
      <c r="H340" s="6" t="s">
        <v>666</v>
      </c>
      <c r="I340" s="10">
        <v>2020051290015</v>
      </c>
      <c r="J340" s="6">
        <v>8</v>
      </c>
      <c r="K340" s="6">
        <v>4218</v>
      </c>
      <c r="L340" s="6" t="s">
        <v>573</v>
      </c>
      <c r="M340" s="6" t="s">
        <v>34</v>
      </c>
      <c r="N340" s="9" t="s">
        <v>35</v>
      </c>
      <c r="O340" s="6" t="s">
        <v>204</v>
      </c>
      <c r="P340" s="6" t="s">
        <v>37</v>
      </c>
      <c r="Q340" s="6">
        <v>1</v>
      </c>
      <c r="R340" s="21">
        <f t="shared" si="8"/>
        <v>101661759</v>
      </c>
      <c r="S340" s="21">
        <v>0</v>
      </c>
      <c r="T340" s="20">
        <v>0</v>
      </c>
      <c r="U340" s="20"/>
      <c r="V340" s="20"/>
      <c r="W340" s="20">
        <f>44055538+18041034+12+39565153+22</f>
        <v>101661759</v>
      </c>
      <c r="X340" s="20">
        <v>0</v>
      </c>
      <c r="Y340" s="20">
        <v>0</v>
      </c>
      <c r="Z340" s="20">
        <v>0</v>
      </c>
      <c r="AA340" s="20">
        <v>0</v>
      </c>
      <c r="AB340" s="20">
        <v>0</v>
      </c>
      <c r="AC340" s="20">
        <v>0</v>
      </c>
      <c r="AD340" s="20">
        <v>0</v>
      </c>
      <c r="AE340" s="20">
        <v>0</v>
      </c>
      <c r="AF340" s="20">
        <v>0</v>
      </c>
      <c r="AG340" s="20">
        <v>0</v>
      </c>
    </row>
    <row r="341" spans="1:33" ht="60" customHeight="1" x14ac:dyDescent="0.2">
      <c r="A341" s="6">
        <v>4</v>
      </c>
      <c r="B341" s="6" t="s">
        <v>550</v>
      </c>
      <c r="C341" s="6">
        <v>2</v>
      </c>
      <c r="D341" s="6" t="s">
        <v>567</v>
      </c>
      <c r="E341" s="6" t="s">
        <v>568</v>
      </c>
      <c r="F341" s="6" t="s">
        <v>569</v>
      </c>
      <c r="G341" s="6" t="s">
        <v>570</v>
      </c>
      <c r="H341" s="6" t="s">
        <v>666</v>
      </c>
      <c r="I341" s="10">
        <v>2020051290015</v>
      </c>
      <c r="J341" s="6">
        <v>8</v>
      </c>
      <c r="K341" s="6">
        <v>4218</v>
      </c>
      <c r="L341" s="6" t="s">
        <v>573</v>
      </c>
      <c r="M341" s="6" t="s">
        <v>34</v>
      </c>
      <c r="N341" s="9" t="s">
        <v>35</v>
      </c>
      <c r="O341" s="6" t="s">
        <v>204</v>
      </c>
      <c r="P341" s="6" t="s">
        <v>52</v>
      </c>
      <c r="Q341" s="6">
        <v>1</v>
      </c>
      <c r="R341" s="21">
        <f t="shared" si="8"/>
        <v>78275899</v>
      </c>
      <c r="S341" s="21">
        <v>0</v>
      </c>
      <c r="T341" s="20">
        <v>0</v>
      </c>
      <c r="U341" s="20">
        <v>0</v>
      </c>
      <c r="V341" s="20">
        <v>0</v>
      </c>
      <c r="W341" s="20">
        <v>0</v>
      </c>
      <c r="X341" s="20">
        <v>0</v>
      </c>
      <c r="Y341" s="20">
        <v>0</v>
      </c>
      <c r="Z341" s="20">
        <v>0</v>
      </c>
      <c r="AA341" s="20">
        <v>0</v>
      </c>
      <c r="AB341" s="20">
        <v>0</v>
      </c>
      <c r="AC341" s="20">
        <v>0</v>
      </c>
      <c r="AD341" s="8">
        <f>55663811+22612076+12</f>
        <v>78275899</v>
      </c>
      <c r="AE341" s="20">
        <v>0</v>
      </c>
      <c r="AF341" s="20">
        <v>0</v>
      </c>
      <c r="AG341" s="20">
        <v>0</v>
      </c>
    </row>
    <row r="342" spans="1:33" ht="60" customHeight="1" x14ac:dyDescent="0.2">
      <c r="A342" s="6">
        <v>4</v>
      </c>
      <c r="B342" s="6" t="s">
        <v>550</v>
      </c>
      <c r="C342" s="6">
        <v>2</v>
      </c>
      <c r="D342" s="6" t="s">
        <v>567</v>
      </c>
      <c r="E342" s="6" t="s">
        <v>568</v>
      </c>
      <c r="F342" s="6" t="s">
        <v>569</v>
      </c>
      <c r="G342" s="6" t="s">
        <v>570</v>
      </c>
      <c r="H342" s="6" t="s">
        <v>575</v>
      </c>
      <c r="I342" s="10">
        <v>2020051290070</v>
      </c>
      <c r="J342" s="6">
        <v>3</v>
      </c>
      <c r="K342" s="6">
        <v>4213</v>
      </c>
      <c r="L342" s="28" t="s">
        <v>576</v>
      </c>
      <c r="M342" s="6" t="s">
        <v>34</v>
      </c>
      <c r="N342" s="9" t="s">
        <v>179</v>
      </c>
      <c r="O342" s="6" t="s">
        <v>422</v>
      </c>
      <c r="P342" s="6" t="s">
        <v>37</v>
      </c>
      <c r="Q342" s="6">
        <v>1</v>
      </c>
      <c r="R342" s="21">
        <f t="shared" si="8"/>
        <v>20180156</v>
      </c>
      <c r="S342" s="21">
        <v>0</v>
      </c>
      <c r="T342" s="20">
        <v>0</v>
      </c>
      <c r="U342" s="20">
        <v>0</v>
      </c>
      <c r="V342" s="20">
        <v>0</v>
      </c>
      <c r="W342" s="20">
        <f>65000000-44819844</f>
        <v>20180156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  <c r="AE342" s="20">
        <v>0</v>
      </c>
      <c r="AF342" s="20">
        <v>0</v>
      </c>
      <c r="AG342" s="20">
        <v>0</v>
      </c>
    </row>
    <row r="343" spans="1:33" ht="45" customHeight="1" x14ac:dyDescent="0.2">
      <c r="A343" s="6">
        <v>4</v>
      </c>
      <c r="B343" s="6" t="s">
        <v>550</v>
      </c>
      <c r="C343" s="6">
        <v>2</v>
      </c>
      <c r="D343" s="6" t="s">
        <v>567</v>
      </c>
      <c r="E343" s="6" t="s">
        <v>568</v>
      </c>
      <c r="F343" s="6" t="s">
        <v>569</v>
      </c>
      <c r="G343" s="6" t="s">
        <v>570</v>
      </c>
      <c r="H343" s="6" t="s">
        <v>575</v>
      </c>
      <c r="I343" s="10">
        <v>2020051290070</v>
      </c>
      <c r="J343" s="6">
        <v>4</v>
      </c>
      <c r="K343" s="6">
        <v>4214</v>
      </c>
      <c r="L343" s="28" t="s">
        <v>577</v>
      </c>
      <c r="M343" s="6" t="s">
        <v>46</v>
      </c>
      <c r="N343" s="9" t="s">
        <v>60</v>
      </c>
      <c r="O343" s="6" t="s">
        <v>422</v>
      </c>
      <c r="P343" s="6" t="s">
        <v>37</v>
      </c>
      <c r="Q343" s="9">
        <v>1</v>
      </c>
      <c r="R343" s="21">
        <f t="shared" si="8"/>
        <v>50000000</v>
      </c>
      <c r="S343" s="21">
        <v>0</v>
      </c>
      <c r="T343" s="20">
        <v>0</v>
      </c>
      <c r="U343" s="20">
        <v>0</v>
      </c>
      <c r="V343" s="20">
        <v>0</v>
      </c>
      <c r="W343" s="20">
        <v>50000000</v>
      </c>
      <c r="X343" s="20">
        <v>0</v>
      </c>
      <c r="Y343" s="20">
        <v>0</v>
      </c>
      <c r="Z343" s="20">
        <v>0</v>
      </c>
      <c r="AA343" s="20">
        <v>0</v>
      </c>
      <c r="AB343" s="20">
        <v>0</v>
      </c>
      <c r="AC343" s="20">
        <v>0</v>
      </c>
      <c r="AD343" s="20">
        <v>0</v>
      </c>
      <c r="AE343" s="20">
        <v>0</v>
      </c>
      <c r="AF343" s="20">
        <v>0</v>
      </c>
      <c r="AG343" s="20">
        <v>0</v>
      </c>
    </row>
    <row r="344" spans="1:33" ht="60" customHeight="1" x14ac:dyDescent="0.2">
      <c r="A344" s="6">
        <v>4</v>
      </c>
      <c r="B344" s="6" t="s">
        <v>550</v>
      </c>
      <c r="C344" s="6">
        <v>2</v>
      </c>
      <c r="D344" s="6" t="s">
        <v>567</v>
      </c>
      <c r="E344" s="6" t="s">
        <v>568</v>
      </c>
      <c r="F344" s="6" t="s">
        <v>569</v>
      </c>
      <c r="G344" s="6" t="s">
        <v>570</v>
      </c>
      <c r="H344" s="6" t="s">
        <v>575</v>
      </c>
      <c r="I344" s="10">
        <v>2020051290070</v>
      </c>
      <c r="J344" s="6">
        <v>5</v>
      </c>
      <c r="K344" s="6">
        <v>4215</v>
      </c>
      <c r="L344" s="28" t="s">
        <v>578</v>
      </c>
      <c r="M344" s="6" t="s">
        <v>34</v>
      </c>
      <c r="N344" s="9" t="s">
        <v>35</v>
      </c>
      <c r="O344" s="6" t="s">
        <v>422</v>
      </c>
      <c r="P344" s="6" t="s">
        <v>37</v>
      </c>
      <c r="Q344" s="6">
        <v>1</v>
      </c>
      <c r="R344" s="21">
        <f t="shared" si="8"/>
        <v>15540468</v>
      </c>
      <c r="S344" s="21">
        <v>0</v>
      </c>
      <c r="T344" s="20">
        <v>0</v>
      </c>
      <c r="U344" s="20">
        <v>0</v>
      </c>
      <c r="V344" s="20">
        <v>0</v>
      </c>
      <c r="W344" s="20">
        <f>150000000-44819844-44819844-44819844</f>
        <v>15540468</v>
      </c>
      <c r="X344" s="20">
        <v>0</v>
      </c>
      <c r="Y344" s="20">
        <v>0</v>
      </c>
      <c r="Z344" s="20">
        <v>0</v>
      </c>
      <c r="AA344" s="20">
        <v>0</v>
      </c>
      <c r="AB344" s="20">
        <v>0</v>
      </c>
      <c r="AC344" s="20">
        <v>0</v>
      </c>
      <c r="AD344" s="20">
        <v>0</v>
      </c>
      <c r="AE344" s="20">
        <v>0</v>
      </c>
      <c r="AF344" s="20">
        <v>0</v>
      </c>
      <c r="AG344" s="20">
        <v>0</v>
      </c>
    </row>
    <row r="345" spans="1:33" ht="60" customHeight="1" x14ac:dyDescent="0.2">
      <c r="A345" s="6">
        <v>4</v>
      </c>
      <c r="B345" s="6" t="s">
        <v>550</v>
      </c>
      <c r="C345" s="6">
        <v>2</v>
      </c>
      <c r="D345" s="6" t="s">
        <v>567</v>
      </c>
      <c r="E345" s="6" t="s">
        <v>568</v>
      </c>
      <c r="F345" s="6" t="s">
        <v>569</v>
      </c>
      <c r="G345" s="6" t="s">
        <v>570</v>
      </c>
      <c r="H345" s="6" t="s">
        <v>575</v>
      </c>
      <c r="I345" s="10">
        <v>2020051290070</v>
      </c>
      <c r="J345" s="6">
        <v>5</v>
      </c>
      <c r="K345" s="6">
        <v>4215</v>
      </c>
      <c r="L345" s="28" t="s">
        <v>578</v>
      </c>
      <c r="M345" s="6" t="s">
        <v>34</v>
      </c>
      <c r="N345" s="9" t="s">
        <v>35</v>
      </c>
      <c r="O345" s="6" t="s">
        <v>422</v>
      </c>
      <c r="P345" s="6" t="s">
        <v>52</v>
      </c>
      <c r="Q345" s="6">
        <v>1</v>
      </c>
      <c r="R345" s="21">
        <f t="shared" si="8"/>
        <v>30152000</v>
      </c>
      <c r="S345" s="21">
        <v>0</v>
      </c>
      <c r="T345" s="20">
        <v>0</v>
      </c>
      <c r="U345" s="20">
        <v>0</v>
      </c>
      <c r="V345" s="20">
        <v>0</v>
      </c>
      <c r="W345" s="20">
        <v>0</v>
      </c>
      <c r="X345" s="20">
        <v>0</v>
      </c>
      <c r="Y345" s="20">
        <v>0</v>
      </c>
      <c r="Z345" s="20">
        <v>0</v>
      </c>
      <c r="AA345" s="20">
        <v>0</v>
      </c>
      <c r="AB345" s="20">
        <v>0</v>
      </c>
      <c r="AC345" s="20">
        <v>0</v>
      </c>
      <c r="AD345" s="8">
        <f>40000000-9848000</f>
        <v>30152000</v>
      </c>
      <c r="AE345" s="20">
        <v>0</v>
      </c>
      <c r="AF345" s="20">
        <v>0</v>
      </c>
      <c r="AG345" s="20">
        <v>0</v>
      </c>
    </row>
    <row r="346" spans="1:33" ht="60" customHeight="1" x14ac:dyDescent="0.2">
      <c r="A346" s="6">
        <v>4</v>
      </c>
      <c r="B346" s="6" t="s">
        <v>550</v>
      </c>
      <c r="C346" s="6">
        <v>2</v>
      </c>
      <c r="D346" s="6" t="s">
        <v>567</v>
      </c>
      <c r="E346" s="6" t="s">
        <v>568</v>
      </c>
      <c r="F346" s="6" t="s">
        <v>569</v>
      </c>
      <c r="G346" s="6" t="s">
        <v>570</v>
      </c>
      <c r="H346" s="6" t="s">
        <v>575</v>
      </c>
      <c r="I346" s="10">
        <v>2020051290070</v>
      </c>
      <c r="J346" s="6">
        <v>6</v>
      </c>
      <c r="K346" s="6">
        <v>4216</v>
      </c>
      <c r="L346" s="28" t="s">
        <v>579</v>
      </c>
      <c r="M346" s="6" t="s">
        <v>34</v>
      </c>
      <c r="N346" s="9" t="s">
        <v>35</v>
      </c>
      <c r="O346" s="6" t="s">
        <v>422</v>
      </c>
      <c r="P346" s="6" t="s">
        <v>37</v>
      </c>
      <c r="Q346" s="6">
        <v>1</v>
      </c>
      <c r="R346" s="21">
        <f t="shared" si="8"/>
        <v>50000000</v>
      </c>
      <c r="S346" s="21">
        <v>0</v>
      </c>
      <c r="T346" s="20">
        <v>0</v>
      </c>
      <c r="U346" s="20">
        <v>0</v>
      </c>
      <c r="V346" s="20">
        <v>0</v>
      </c>
      <c r="W346" s="20">
        <v>50000000</v>
      </c>
      <c r="X346" s="20">
        <v>0</v>
      </c>
      <c r="Y346" s="20">
        <v>0</v>
      </c>
      <c r="Z346" s="20">
        <v>0</v>
      </c>
      <c r="AA346" s="20">
        <v>0</v>
      </c>
      <c r="AB346" s="20">
        <v>0</v>
      </c>
      <c r="AC346" s="20">
        <v>0</v>
      </c>
      <c r="AD346" s="20">
        <v>0</v>
      </c>
      <c r="AE346" s="20">
        <v>0</v>
      </c>
      <c r="AF346" s="20">
        <v>0</v>
      </c>
      <c r="AG346" s="20">
        <v>0</v>
      </c>
    </row>
    <row r="347" spans="1:33" ht="45" customHeight="1" x14ac:dyDescent="0.2">
      <c r="A347" s="6">
        <v>4</v>
      </c>
      <c r="B347" s="6" t="s">
        <v>550</v>
      </c>
      <c r="C347" s="6">
        <v>2</v>
      </c>
      <c r="D347" s="6" t="s">
        <v>567</v>
      </c>
      <c r="E347" s="6" t="s">
        <v>568</v>
      </c>
      <c r="F347" s="6" t="s">
        <v>569</v>
      </c>
      <c r="G347" s="6" t="s">
        <v>570</v>
      </c>
      <c r="H347" s="6" t="s">
        <v>580</v>
      </c>
      <c r="I347" s="10">
        <v>2020051290056</v>
      </c>
      <c r="J347" s="6">
        <v>2</v>
      </c>
      <c r="K347" s="6">
        <v>4212</v>
      </c>
      <c r="L347" s="6" t="s">
        <v>582</v>
      </c>
      <c r="M347" s="6" t="s">
        <v>34</v>
      </c>
      <c r="N347" s="9" t="s">
        <v>35</v>
      </c>
      <c r="O347" s="6" t="s">
        <v>581</v>
      </c>
      <c r="P347" s="6" t="s">
        <v>37</v>
      </c>
      <c r="Q347" s="6">
        <v>1</v>
      </c>
      <c r="R347" s="21">
        <f t="shared" si="8"/>
        <v>53726351</v>
      </c>
      <c r="S347" s="21">
        <v>0</v>
      </c>
      <c r="T347" s="20">
        <v>0</v>
      </c>
      <c r="U347" s="20">
        <v>0</v>
      </c>
      <c r="V347" s="20">
        <v>0</v>
      </c>
      <c r="W347" s="20">
        <f>28315240+25411111</f>
        <v>53726351</v>
      </c>
      <c r="X347" s="20">
        <v>0</v>
      </c>
      <c r="Y347" s="20">
        <v>0</v>
      </c>
      <c r="Z347" s="20">
        <v>0</v>
      </c>
      <c r="AA347" s="20">
        <v>0</v>
      </c>
      <c r="AB347" s="20">
        <v>0</v>
      </c>
      <c r="AC347" s="20">
        <v>0</v>
      </c>
      <c r="AD347" s="20">
        <v>0</v>
      </c>
      <c r="AE347" s="20">
        <v>0</v>
      </c>
      <c r="AF347" s="20">
        <v>0</v>
      </c>
      <c r="AG347" s="20">
        <v>0</v>
      </c>
    </row>
    <row r="348" spans="1:33" ht="45" customHeight="1" x14ac:dyDescent="0.2">
      <c r="A348" s="6">
        <v>4</v>
      </c>
      <c r="B348" s="6" t="s">
        <v>550</v>
      </c>
      <c r="C348" s="6">
        <v>2</v>
      </c>
      <c r="D348" s="6" t="s">
        <v>567</v>
      </c>
      <c r="E348" s="6" t="s">
        <v>568</v>
      </c>
      <c r="F348" s="6" t="s">
        <v>569</v>
      </c>
      <c r="G348" s="6" t="s">
        <v>570</v>
      </c>
      <c r="H348" s="6" t="s">
        <v>580</v>
      </c>
      <c r="I348" s="10">
        <v>2020051290056</v>
      </c>
      <c r="J348" s="6">
        <v>2</v>
      </c>
      <c r="K348" s="6">
        <v>4212</v>
      </c>
      <c r="L348" s="6" t="s">
        <v>582</v>
      </c>
      <c r="M348" s="6" t="s">
        <v>34</v>
      </c>
      <c r="N348" s="9" t="s">
        <v>35</v>
      </c>
      <c r="O348" s="6" t="s">
        <v>581</v>
      </c>
      <c r="P348" s="6" t="s">
        <v>37</v>
      </c>
      <c r="Q348" s="6">
        <v>1</v>
      </c>
      <c r="R348" s="21">
        <f t="shared" si="8"/>
        <v>110205609</v>
      </c>
      <c r="S348" s="21">
        <v>0</v>
      </c>
      <c r="T348" s="20">
        <v>0</v>
      </c>
      <c r="U348" s="20">
        <v>0</v>
      </c>
      <c r="V348" s="20">
        <v>0</v>
      </c>
      <c r="W348" s="8">
        <f>94794498+15411111</f>
        <v>110205609</v>
      </c>
      <c r="X348" s="20">
        <v>0</v>
      </c>
      <c r="Y348" s="20">
        <v>0</v>
      </c>
      <c r="Z348" s="20">
        <v>0</v>
      </c>
      <c r="AA348" s="20">
        <v>0</v>
      </c>
      <c r="AB348" s="20">
        <v>0</v>
      </c>
      <c r="AC348" s="20">
        <v>0</v>
      </c>
      <c r="AD348" s="20">
        <v>0</v>
      </c>
      <c r="AE348" s="20">
        <v>0</v>
      </c>
      <c r="AF348" s="20">
        <v>0</v>
      </c>
      <c r="AG348" s="20">
        <v>0</v>
      </c>
    </row>
    <row r="349" spans="1:33" ht="45" customHeight="1" x14ac:dyDescent="0.2">
      <c r="A349" s="6">
        <v>4</v>
      </c>
      <c r="B349" s="6" t="s">
        <v>550</v>
      </c>
      <c r="C349" s="6">
        <v>2</v>
      </c>
      <c r="D349" s="6" t="s">
        <v>567</v>
      </c>
      <c r="E349" s="6" t="s">
        <v>568</v>
      </c>
      <c r="F349" s="6" t="s">
        <v>574</v>
      </c>
      <c r="G349" s="6" t="s">
        <v>583</v>
      </c>
      <c r="H349" s="6" t="s">
        <v>584</v>
      </c>
      <c r="I349" s="10">
        <v>2020051290037</v>
      </c>
      <c r="J349" s="6">
        <v>1</v>
      </c>
      <c r="K349" s="6">
        <v>4221</v>
      </c>
      <c r="L349" s="6" t="s">
        <v>585</v>
      </c>
      <c r="M349" s="6" t="s">
        <v>46</v>
      </c>
      <c r="N349" s="9" t="s">
        <v>179</v>
      </c>
      <c r="O349" s="6" t="s">
        <v>581</v>
      </c>
      <c r="P349" s="6" t="s">
        <v>37</v>
      </c>
      <c r="Q349" s="9">
        <v>1</v>
      </c>
      <c r="R349" s="21">
        <f t="shared" si="8"/>
        <v>40411111</v>
      </c>
      <c r="S349" s="21">
        <v>0</v>
      </c>
      <c r="T349" s="20">
        <v>0</v>
      </c>
      <c r="U349" s="20">
        <v>0</v>
      </c>
      <c r="V349" s="20">
        <v>0</v>
      </c>
      <c r="W349" s="20">
        <f>15000000+25411111</f>
        <v>40411111</v>
      </c>
      <c r="X349" s="20">
        <v>0</v>
      </c>
      <c r="Y349" s="20">
        <v>0</v>
      </c>
      <c r="Z349" s="20">
        <v>0</v>
      </c>
      <c r="AA349" s="20">
        <v>0</v>
      </c>
      <c r="AB349" s="20">
        <v>0</v>
      </c>
      <c r="AC349" s="20">
        <v>0</v>
      </c>
      <c r="AD349" s="20">
        <v>0</v>
      </c>
      <c r="AE349" s="20">
        <v>0</v>
      </c>
      <c r="AF349" s="20">
        <v>0</v>
      </c>
      <c r="AG349" s="20">
        <v>0</v>
      </c>
    </row>
    <row r="350" spans="1:33" ht="45" customHeight="1" x14ac:dyDescent="0.2">
      <c r="A350" s="6">
        <v>4</v>
      </c>
      <c r="B350" s="6" t="s">
        <v>550</v>
      </c>
      <c r="C350" s="6">
        <v>2</v>
      </c>
      <c r="D350" s="6" t="s">
        <v>567</v>
      </c>
      <c r="E350" s="6" t="s">
        <v>568</v>
      </c>
      <c r="F350" s="6" t="s">
        <v>574</v>
      </c>
      <c r="G350" s="6" t="s">
        <v>583</v>
      </c>
      <c r="H350" s="6" t="s">
        <v>584</v>
      </c>
      <c r="I350" s="10">
        <v>2020051290037</v>
      </c>
      <c r="J350" s="6">
        <v>2</v>
      </c>
      <c r="K350" s="6">
        <v>4222</v>
      </c>
      <c r="L350" s="6" t="s">
        <v>586</v>
      </c>
      <c r="M350" s="6" t="s">
        <v>34</v>
      </c>
      <c r="N350" s="9" t="s">
        <v>35</v>
      </c>
      <c r="O350" s="6" t="s">
        <v>581</v>
      </c>
      <c r="P350" s="6" t="s">
        <v>37</v>
      </c>
      <c r="Q350" s="6">
        <v>1</v>
      </c>
      <c r="R350" s="21">
        <f t="shared" si="8"/>
        <v>29911111</v>
      </c>
      <c r="S350" s="21">
        <v>0</v>
      </c>
      <c r="T350" s="20">
        <v>0</v>
      </c>
      <c r="U350" s="20">
        <v>0</v>
      </c>
      <c r="V350" s="20">
        <v>0</v>
      </c>
      <c r="W350" s="20">
        <f>4500000+25411111</f>
        <v>29911111</v>
      </c>
      <c r="X350" s="20">
        <v>0</v>
      </c>
      <c r="Y350" s="20">
        <v>0</v>
      </c>
      <c r="Z350" s="20">
        <v>0</v>
      </c>
      <c r="AA350" s="20">
        <v>0</v>
      </c>
      <c r="AB350" s="20">
        <v>0</v>
      </c>
      <c r="AC350" s="20">
        <v>0</v>
      </c>
      <c r="AD350" s="20">
        <v>0</v>
      </c>
      <c r="AE350" s="20">
        <v>0</v>
      </c>
      <c r="AF350" s="20">
        <v>0</v>
      </c>
      <c r="AG350" s="20">
        <v>0</v>
      </c>
    </row>
    <row r="351" spans="1:33" ht="45" customHeight="1" x14ac:dyDescent="0.2">
      <c r="A351" s="6">
        <v>4</v>
      </c>
      <c r="B351" s="6" t="s">
        <v>550</v>
      </c>
      <c r="C351" s="6">
        <v>2</v>
      </c>
      <c r="D351" s="6" t="s">
        <v>567</v>
      </c>
      <c r="E351" s="6" t="s">
        <v>568</v>
      </c>
      <c r="F351" s="6" t="s">
        <v>574</v>
      </c>
      <c r="G351" s="6" t="s">
        <v>583</v>
      </c>
      <c r="H351" s="6" t="s">
        <v>584</v>
      </c>
      <c r="I351" s="10">
        <v>2020051290037</v>
      </c>
      <c r="J351" s="6">
        <v>2</v>
      </c>
      <c r="K351" s="6">
        <v>4222</v>
      </c>
      <c r="L351" s="6" t="s">
        <v>586</v>
      </c>
      <c r="M351" s="6" t="s">
        <v>34</v>
      </c>
      <c r="N351" s="9" t="s">
        <v>35</v>
      </c>
      <c r="O351" s="6" t="s">
        <v>581</v>
      </c>
      <c r="P351" s="6" t="s">
        <v>52</v>
      </c>
      <c r="Q351" s="6">
        <v>1</v>
      </c>
      <c r="R351" s="21">
        <f t="shared" si="8"/>
        <v>8000000</v>
      </c>
      <c r="S351" s="21">
        <v>0</v>
      </c>
      <c r="T351" s="20">
        <v>0</v>
      </c>
      <c r="U351" s="20">
        <v>0</v>
      </c>
      <c r="V351" s="20">
        <v>0</v>
      </c>
      <c r="W351" s="20">
        <v>0</v>
      </c>
      <c r="X351" s="20">
        <v>0</v>
      </c>
      <c r="Y351" s="20">
        <v>0</v>
      </c>
      <c r="Z351" s="20">
        <v>0</v>
      </c>
      <c r="AA351" s="20">
        <v>0</v>
      </c>
      <c r="AB351" s="20">
        <v>0</v>
      </c>
      <c r="AC351" s="20">
        <v>0</v>
      </c>
      <c r="AD351" s="20">
        <v>8000000</v>
      </c>
      <c r="AE351" s="20">
        <v>0</v>
      </c>
      <c r="AF351" s="20">
        <v>0</v>
      </c>
      <c r="AG351" s="20">
        <v>0</v>
      </c>
    </row>
    <row r="352" spans="1:33" ht="45" customHeight="1" x14ac:dyDescent="0.2">
      <c r="A352" s="6">
        <v>4</v>
      </c>
      <c r="B352" s="6" t="s">
        <v>550</v>
      </c>
      <c r="C352" s="6">
        <v>2</v>
      </c>
      <c r="D352" s="6" t="s">
        <v>567</v>
      </c>
      <c r="E352" s="6" t="s">
        <v>568</v>
      </c>
      <c r="F352" s="6" t="s">
        <v>587</v>
      </c>
      <c r="G352" s="6" t="s">
        <v>588</v>
      </c>
      <c r="H352" s="6" t="s">
        <v>589</v>
      </c>
      <c r="I352" s="10">
        <v>2020051290024</v>
      </c>
      <c r="J352" s="6">
        <v>1</v>
      </c>
      <c r="K352" s="6">
        <v>4231</v>
      </c>
      <c r="L352" s="6" t="s">
        <v>590</v>
      </c>
      <c r="M352" s="6" t="s">
        <v>34</v>
      </c>
      <c r="N352" s="9" t="s">
        <v>35</v>
      </c>
      <c r="O352" s="6" t="s">
        <v>581</v>
      </c>
      <c r="P352" s="6" t="s">
        <v>37</v>
      </c>
      <c r="Q352" s="6">
        <v>1</v>
      </c>
      <c r="R352" s="21">
        <f t="shared" si="8"/>
        <v>68972361</v>
      </c>
      <c r="S352" s="21">
        <v>0</v>
      </c>
      <c r="T352" s="20">
        <v>0</v>
      </c>
      <c r="U352" s="20">
        <v>0</v>
      </c>
      <c r="V352" s="20">
        <v>0</v>
      </c>
      <c r="W352" s="20">
        <f>53561250+15411111</f>
        <v>68972361</v>
      </c>
      <c r="X352" s="20">
        <v>0</v>
      </c>
      <c r="Y352" s="20">
        <v>0</v>
      </c>
      <c r="Z352" s="20">
        <v>0</v>
      </c>
      <c r="AA352" s="20">
        <v>0</v>
      </c>
      <c r="AB352" s="20">
        <v>0</v>
      </c>
      <c r="AC352" s="20">
        <v>0</v>
      </c>
      <c r="AD352" s="20">
        <v>0</v>
      </c>
      <c r="AE352" s="20">
        <v>0</v>
      </c>
      <c r="AF352" s="20">
        <v>0</v>
      </c>
      <c r="AG352" s="20">
        <v>0</v>
      </c>
    </row>
    <row r="353" spans="1:33" ht="45" customHeight="1" x14ac:dyDescent="0.2">
      <c r="A353" s="6">
        <v>4</v>
      </c>
      <c r="B353" s="6" t="s">
        <v>550</v>
      </c>
      <c r="C353" s="6">
        <v>2</v>
      </c>
      <c r="D353" s="6" t="s">
        <v>567</v>
      </c>
      <c r="E353" s="6" t="s">
        <v>568</v>
      </c>
      <c r="F353" s="6" t="s">
        <v>587</v>
      </c>
      <c r="G353" s="6" t="s">
        <v>588</v>
      </c>
      <c r="H353" s="6" t="s">
        <v>589</v>
      </c>
      <c r="I353" s="10">
        <v>2020051290024</v>
      </c>
      <c r="J353" s="6">
        <v>2</v>
      </c>
      <c r="K353" s="6">
        <v>4232</v>
      </c>
      <c r="L353" s="6" t="s">
        <v>591</v>
      </c>
      <c r="M353" s="6" t="s">
        <v>34</v>
      </c>
      <c r="N353" s="9" t="s">
        <v>35</v>
      </c>
      <c r="O353" s="6" t="s">
        <v>581</v>
      </c>
      <c r="P353" s="6" t="s">
        <v>37</v>
      </c>
      <c r="Q353" s="6">
        <v>1</v>
      </c>
      <c r="R353" s="21">
        <f t="shared" si="8"/>
        <v>56117661</v>
      </c>
      <c r="S353" s="21">
        <v>0</v>
      </c>
      <c r="T353" s="20">
        <v>0</v>
      </c>
      <c r="U353" s="20">
        <v>0</v>
      </c>
      <c r="V353" s="20">
        <v>0</v>
      </c>
      <c r="W353" s="20">
        <f>40706550+15411111</f>
        <v>56117661</v>
      </c>
      <c r="X353" s="20">
        <v>0</v>
      </c>
      <c r="Y353" s="20">
        <v>0</v>
      </c>
      <c r="Z353" s="20">
        <v>0</v>
      </c>
      <c r="AA353" s="20">
        <v>0</v>
      </c>
      <c r="AB353" s="20">
        <v>0</v>
      </c>
      <c r="AC353" s="20">
        <v>0</v>
      </c>
      <c r="AD353" s="20">
        <v>0</v>
      </c>
      <c r="AE353" s="20">
        <v>0</v>
      </c>
      <c r="AF353" s="20">
        <v>0</v>
      </c>
      <c r="AG353" s="20">
        <v>0</v>
      </c>
    </row>
    <row r="354" spans="1:33" ht="60" customHeight="1" x14ac:dyDescent="0.2">
      <c r="A354" s="6">
        <v>4</v>
      </c>
      <c r="B354" s="6" t="s">
        <v>550</v>
      </c>
      <c r="C354" s="6">
        <v>2</v>
      </c>
      <c r="D354" s="6" t="s">
        <v>567</v>
      </c>
      <c r="E354" s="6" t="s">
        <v>568</v>
      </c>
      <c r="F354" s="6" t="s">
        <v>587</v>
      </c>
      <c r="G354" s="6" t="s">
        <v>588</v>
      </c>
      <c r="H354" s="6" t="s">
        <v>589</v>
      </c>
      <c r="I354" s="10">
        <v>2020051290024</v>
      </c>
      <c r="J354" s="6">
        <v>3</v>
      </c>
      <c r="K354" s="6">
        <v>4233</v>
      </c>
      <c r="L354" s="6" t="s">
        <v>592</v>
      </c>
      <c r="M354" s="6" t="s">
        <v>34</v>
      </c>
      <c r="N354" s="9" t="s">
        <v>35</v>
      </c>
      <c r="O354" s="6" t="s">
        <v>581</v>
      </c>
      <c r="P354" s="6" t="s">
        <v>37</v>
      </c>
      <c r="Q354" s="6">
        <v>1</v>
      </c>
      <c r="R354" s="21">
        <f t="shared" si="8"/>
        <v>55411111</v>
      </c>
      <c r="S354" s="21">
        <v>0</v>
      </c>
      <c r="T354" s="20">
        <v>0</v>
      </c>
      <c r="U354" s="20">
        <v>0</v>
      </c>
      <c r="V354" s="20">
        <v>0</v>
      </c>
      <c r="W354" s="20">
        <f>40000000+15411111</f>
        <v>55411111</v>
      </c>
      <c r="X354" s="20">
        <v>0</v>
      </c>
      <c r="Y354" s="20">
        <v>0</v>
      </c>
      <c r="Z354" s="20">
        <v>0</v>
      </c>
      <c r="AA354" s="20">
        <v>0</v>
      </c>
      <c r="AB354" s="20">
        <v>0</v>
      </c>
      <c r="AC354" s="20">
        <v>0</v>
      </c>
      <c r="AD354" s="20">
        <v>0</v>
      </c>
      <c r="AE354" s="20">
        <v>0</v>
      </c>
      <c r="AF354" s="20">
        <v>0</v>
      </c>
      <c r="AG354" s="20">
        <v>0</v>
      </c>
    </row>
    <row r="355" spans="1:33" ht="60" customHeight="1" x14ac:dyDescent="0.2">
      <c r="A355" s="6">
        <v>4</v>
      </c>
      <c r="B355" s="6" t="s">
        <v>550</v>
      </c>
      <c r="C355" s="6">
        <v>2</v>
      </c>
      <c r="D355" s="6" t="s">
        <v>567</v>
      </c>
      <c r="E355" s="6" t="s">
        <v>568</v>
      </c>
      <c r="F355" s="6" t="s">
        <v>587</v>
      </c>
      <c r="G355" s="6" t="s">
        <v>588</v>
      </c>
      <c r="H355" s="6" t="s">
        <v>589</v>
      </c>
      <c r="I355" s="10">
        <v>2020051290024</v>
      </c>
      <c r="J355" s="6">
        <v>3</v>
      </c>
      <c r="K355" s="6">
        <v>4233</v>
      </c>
      <c r="L355" s="6" t="s">
        <v>592</v>
      </c>
      <c r="M355" s="6" t="s">
        <v>34</v>
      </c>
      <c r="N355" s="9" t="s">
        <v>35</v>
      </c>
      <c r="O355" s="6" t="s">
        <v>581</v>
      </c>
      <c r="P355" s="6" t="s">
        <v>52</v>
      </c>
      <c r="Q355" s="6">
        <v>1</v>
      </c>
      <c r="R355" s="21">
        <f t="shared" si="8"/>
        <v>47851000</v>
      </c>
      <c r="S355" s="21">
        <v>0</v>
      </c>
      <c r="T355" s="20">
        <v>0</v>
      </c>
      <c r="U355" s="20">
        <v>0</v>
      </c>
      <c r="V355" s="20">
        <v>0</v>
      </c>
      <c r="W355" s="20">
        <v>0</v>
      </c>
      <c r="X355" s="20">
        <v>0</v>
      </c>
      <c r="Y355" s="20">
        <v>0</v>
      </c>
      <c r="Z355" s="20">
        <v>0</v>
      </c>
      <c r="AA355" s="20">
        <v>0</v>
      </c>
      <c r="AB355" s="20">
        <v>0</v>
      </c>
      <c r="AC355" s="20">
        <v>0</v>
      </c>
      <c r="AD355" s="20">
        <f>53733000-5882000</f>
        <v>47851000</v>
      </c>
      <c r="AE355" s="20">
        <v>0</v>
      </c>
      <c r="AF355" s="20">
        <v>0</v>
      </c>
      <c r="AG355" s="20">
        <v>0</v>
      </c>
    </row>
    <row r="356" spans="1:33" ht="45" customHeight="1" x14ac:dyDescent="0.2">
      <c r="A356" s="6">
        <v>4</v>
      </c>
      <c r="B356" s="6" t="s">
        <v>550</v>
      </c>
      <c r="C356" s="6">
        <v>3</v>
      </c>
      <c r="D356" s="6" t="s">
        <v>593</v>
      </c>
      <c r="E356" s="6" t="s">
        <v>594</v>
      </c>
      <c r="F356" s="6" t="s">
        <v>595</v>
      </c>
      <c r="G356" s="6" t="s">
        <v>596</v>
      </c>
      <c r="H356" s="6" t="s">
        <v>589</v>
      </c>
      <c r="I356" s="10">
        <v>2020051290024</v>
      </c>
      <c r="J356" s="6">
        <v>4</v>
      </c>
      <c r="K356" s="6">
        <v>4314</v>
      </c>
      <c r="L356" s="6" t="s">
        <v>597</v>
      </c>
      <c r="M356" s="6" t="s">
        <v>34</v>
      </c>
      <c r="N356" s="9" t="s">
        <v>35</v>
      </c>
      <c r="O356" s="6" t="s">
        <v>598</v>
      </c>
      <c r="P356" s="6" t="s">
        <v>37</v>
      </c>
      <c r="Q356" s="6">
        <v>1</v>
      </c>
      <c r="R356" s="21">
        <f t="shared" si="8"/>
        <v>185000000</v>
      </c>
      <c r="S356" s="21">
        <v>0</v>
      </c>
      <c r="T356" s="16">
        <v>0</v>
      </c>
      <c r="U356" s="16">
        <v>0</v>
      </c>
      <c r="V356" s="20">
        <v>0</v>
      </c>
      <c r="W356" s="16">
        <v>185000000</v>
      </c>
      <c r="X356" s="16">
        <v>0</v>
      </c>
      <c r="Y356" s="16">
        <v>0</v>
      </c>
      <c r="Z356" s="16">
        <v>0</v>
      </c>
      <c r="AA356" s="16">
        <v>0</v>
      </c>
      <c r="AB356" s="16">
        <v>0</v>
      </c>
      <c r="AC356" s="16">
        <v>0</v>
      </c>
      <c r="AD356" s="16">
        <v>0</v>
      </c>
      <c r="AE356" s="16">
        <v>0</v>
      </c>
      <c r="AF356" s="16">
        <v>0</v>
      </c>
      <c r="AG356" s="17">
        <v>0</v>
      </c>
    </row>
    <row r="357" spans="1:33" ht="45" customHeight="1" x14ac:dyDescent="0.2">
      <c r="A357" s="6">
        <v>4</v>
      </c>
      <c r="B357" s="6" t="s">
        <v>550</v>
      </c>
      <c r="C357" s="6">
        <v>3</v>
      </c>
      <c r="D357" s="6" t="s">
        <v>593</v>
      </c>
      <c r="E357" s="6" t="s">
        <v>594</v>
      </c>
      <c r="F357" s="6" t="s">
        <v>599</v>
      </c>
      <c r="G357" s="6" t="s">
        <v>600</v>
      </c>
      <c r="H357" s="6" t="s">
        <v>601</v>
      </c>
      <c r="I357" s="10">
        <v>2020051290057</v>
      </c>
      <c r="J357" s="6">
        <v>1</v>
      </c>
      <c r="K357" s="6">
        <v>4321</v>
      </c>
      <c r="L357" s="6" t="s">
        <v>602</v>
      </c>
      <c r="M357" s="6" t="s">
        <v>34</v>
      </c>
      <c r="N357" s="9" t="s">
        <v>35</v>
      </c>
      <c r="O357" s="6" t="s">
        <v>603</v>
      </c>
      <c r="P357" s="6" t="s">
        <v>37</v>
      </c>
      <c r="Q357" s="6">
        <v>1</v>
      </c>
      <c r="R357" s="21">
        <f t="shared" si="8"/>
        <v>63563007</v>
      </c>
      <c r="S357" s="21">
        <v>0</v>
      </c>
      <c r="T357" s="20">
        <v>0</v>
      </c>
      <c r="U357" s="20">
        <v>0</v>
      </c>
      <c r="V357" s="20">
        <v>0</v>
      </c>
      <c r="W357" s="20">
        <f>55331407+8231600</f>
        <v>63563007</v>
      </c>
      <c r="X357" s="20">
        <v>0</v>
      </c>
      <c r="Y357" s="20">
        <v>0</v>
      </c>
      <c r="Z357" s="20">
        <v>0</v>
      </c>
      <c r="AA357" s="20">
        <v>0</v>
      </c>
      <c r="AB357" s="20">
        <v>0</v>
      </c>
      <c r="AC357" s="20">
        <v>0</v>
      </c>
      <c r="AD357" s="20">
        <v>0</v>
      </c>
      <c r="AE357" s="20">
        <v>0</v>
      </c>
      <c r="AF357" s="20">
        <v>0</v>
      </c>
      <c r="AG357" s="20">
        <v>0</v>
      </c>
    </row>
    <row r="358" spans="1:33" ht="45" customHeight="1" x14ac:dyDescent="0.2">
      <c r="A358" s="6">
        <v>4</v>
      </c>
      <c r="B358" s="6" t="s">
        <v>550</v>
      </c>
      <c r="C358" s="6">
        <v>3</v>
      </c>
      <c r="D358" s="6" t="s">
        <v>593</v>
      </c>
      <c r="E358" s="6" t="s">
        <v>594</v>
      </c>
      <c r="F358" s="6" t="s">
        <v>599</v>
      </c>
      <c r="G358" s="6" t="s">
        <v>600</v>
      </c>
      <c r="H358" s="6" t="s">
        <v>601</v>
      </c>
      <c r="I358" s="10">
        <v>2020051290057</v>
      </c>
      <c r="J358" s="6">
        <v>1</v>
      </c>
      <c r="K358" s="6">
        <v>4321</v>
      </c>
      <c r="L358" s="6" t="s">
        <v>602</v>
      </c>
      <c r="M358" s="6" t="s">
        <v>34</v>
      </c>
      <c r="N358" s="9" t="s">
        <v>35</v>
      </c>
      <c r="O358" s="6" t="s">
        <v>603</v>
      </c>
      <c r="P358" s="6" t="s">
        <v>52</v>
      </c>
      <c r="Q358" s="6">
        <v>1</v>
      </c>
      <c r="R358" s="21">
        <f t="shared" si="8"/>
        <v>87257000</v>
      </c>
      <c r="S358" s="21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20">
        <v>0</v>
      </c>
      <c r="AB358" s="20">
        <v>0</v>
      </c>
      <c r="AC358" s="20">
        <v>0</v>
      </c>
      <c r="AD358" s="5">
        <v>87257000</v>
      </c>
      <c r="AE358" s="20">
        <v>0</v>
      </c>
      <c r="AF358" s="20">
        <v>0</v>
      </c>
      <c r="AG358" s="20">
        <v>0</v>
      </c>
    </row>
    <row r="359" spans="1:33" ht="45" customHeight="1" x14ac:dyDescent="0.2">
      <c r="A359" s="6">
        <v>4</v>
      </c>
      <c r="B359" s="6" t="s">
        <v>550</v>
      </c>
      <c r="C359" s="6">
        <v>3</v>
      </c>
      <c r="D359" s="6" t="s">
        <v>593</v>
      </c>
      <c r="E359" s="6" t="s">
        <v>594</v>
      </c>
      <c r="F359" s="6" t="s">
        <v>599</v>
      </c>
      <c r="G359" s="6" t="s">
        <v>600</v>
      </c>
      <c r="H359" s="6" t="s">
        <v>601</v>
      </c>
      <c r="I359" s="10">
        <v>2020051290057</v>
      </c>
      <c r="J359" s="6">
        <v>2</v>
      </c>
      <c r="K359" s="6">
        <v>4322</v>
      </c>
      <c r="L359" s="6" t="s">
        <v>604</v>
      </c>
      <c r="M359" s="6" t="s">
        <v>34</v>
      </c>
      <c r="N359" s="9" t="s">
        <v>35</v>
      </c>
      <c r="O359" s="6" t="s">
        <v>603</v>
      </c>
      <c r="P359" s="6" t="s">
        <v>37</v>
      </c>
      <c r="Q359" s="6">
        <v>1</v>
      </c>
      <c r="R359" s="21">
        <f t="shared" si="8"/>
        <v>358231600</v>
      </c>
      <c r="S359" s="21">
        <v>0</v>
      </c>
      <c r="T359" s="20">
        <v>0</v>
      </c>
      <c r="U359" s="20">
        <v>0</v>
      </c>
      <c r="V359" s="20">
        <v>0</v>
      </c>
      <c r="W359" s="20">
        <f>350000000+8231600</f>
        <v>358231600</v>
      </c>
      <c r="X359" s="20">
        <v>0</v>
      </c>
      <c r="Y359" s="20">
        <v>0</v>
      </c>
      <c r="Z359" s="20">
        <v>0</v>
      </c>
      <c r="AA359" s="20">
        <v>0</v>
      </c>
      <c r="AB359" s="20">
        <v>0</v>
      </c>
      <c r="AC359" s="20">
        <v>0</v>
      </c>
      <c r="AD359" s="20">
        <v>0</v>
      </c>
      <c r="AE359" s="20">
        <v>0</v>
      </c>
      <c r="AF359" s="20">
        <v>0</v>
      </c>
      <c r="AG359" s="20">
        <v>0</v>
      </c>
    </row>
    <row r="360" spans="1:33" ht="45" customHeight="1" x14ac:dyDescent="0.2">
      <c r="A360" s="6">
        <v>4</v>
      </c>
      <c r="B360" s="6" t="s">
        <v>550</v>
      </c>
      <c r="C360" s="6">
        <v>3</v>
      </c>
      <c r="D360" s="6" t="s">
        <v>593</v>
      </c>
      <c r="E360" s="6" t="s">
        <v>594</v>
      </c>
      <c r="F360" s="6" t="s">
        <v>599</v>
      </c>
      <c r="G360" s="6" t="s">
        <v>600</v>
      </c>
      <c r="H360" s="6" t="s">
        <v>601</v>
      </c>
      <c r="I360" s="10">
        <v>2020051290057</v>
      </c>
      <c r="J360" s="6">
        <v>3</v>
      </c>
      <c r="K360" s="6">
        <v>4323</v>
      </c>
      <c r="L360" s="6" t="s">
        <v>605</v>
      </c>
      <c r="M360" s="6" t="s">
        <v>34</v>
      </c>
      <c r="N360" s="9" t="s">
        <v>35</v>
      </c>
      <c r="O360" s="6" t="s">
        <v>603</v>
      </c>
      <c r="P360" s="6" t="s">
        <v>37</v>
      </c>
      <c r="Q360" s="6">
        <v>1</v>
      </c>
      <c r="R360" s="21">
        <f t="shared" si="8"/>
        <v>164595390</v>
      </c>
      <c r="S360" s="21">
        <v>0</v>
      </c>
      <c r="T360" s="20">
        <v>0</v>
      </c>
      <c r="U360" s="20">
        <v>0</v>
      </c>
      <c r="V360" s="20">
        <v>0</v>
      </c>
      <c r="W360" s="20">
        <f>156363790+8231600</f>
        <v>164595390</v>
      </c>
      <c r="X360" s="20">
        <v>0</v>
      </c>
      <c r="Y360" s="20">
        <v>0</v>
      </c>
      <c r="Z360" s="20">
        <v>0</v>
      </c>
      <c r="AA360" s="20">
        <v>0</v>
      </c>
      <c r="AB360" s="20">
        <v>0</v>
      </c>
      <c r="AC360" s="20">
        <v>0</v>
      </c>
      <c r="AD360" s="20">
        <v>0</v>
      </c>
      <c r="AE360" s="20">
        <v>0</v>
      </c>
      <c r="AF360" s="20">
        <v>0</v>
      </c>
      <c r="AG360" s="20">
        <v>0</v>
      </c>
    </row>
    <row r="361" spans="1:33" ht="45" customHeight="1" x14ac:dyDescent="0.2">
      <c r="A361" s="6">
        <v>4</v>
      </c>
      <c r="B361" s="6" t="s">
        <v>550</v>
      </c>
      <c r="C361" s="6">
        <v>3</v>
      </c>
      <c r="D361" s="6" t="s">
        <v>593</v>
      </c>
      <c r="E361" s="6" t="s">
        <v>594</v>
      </c>
      <c r="F361" s="6" t="s">
        <v>599</v>
      </c>
      <c r="G361" s="6" t="s">
        <v>600</v>
      </c>
      <c r="H361" s="6" t="s">
        <v>601</v>
      </c>
      <c r="I361" s="10">
        <v>2020051290057</v>
      </c>
      <c r="J361" s="6">
        <v>5</v>
      </c>
      <c r="K361" s="6">
        <v>4325</v>
      </c>
      <c r="L361" s="6" t="s">
        <v>606</v>
      </c>
      <c r="M361" s="6" t="s">
        <v>34</v>
      </c>
      <c r="N361" s="9" t="s">
        <v>35</v>
      </c>
      <c r="O361" s="6" t="s">
        <v>603</v>
      </c>
      <c r="P361" s="6" t="s">
        <v>37</v>
      </c>
      <c r="Q361" s="6">
        <v>1</v>
      </c>
      <c r="R361" s="21">
        <f t="shared" si="8"/>
        <v>63231600</v>
      </c>
      <c r="S361" s="21">
        <v>0</v>
      </c>
      <c r="T361" s="20">
        <v>0</v>
      </c>
      <c r="U361" s="20">
        <v>0</v>
      </c>
      <c r="V361" s="20">
        <v>0</v>
      </c>
      <c r="W361" s="20">
        <f>55000000+8231600</f>
        <v>63231600</v>
      </c>
      <c r="X361" s="20">
        <v>0</v>
      </c>
      <c r="Y361" s="20">
        <v>0</v>
      </c>
      <c r="Z361" s="20">
        <v>0</v>
      </c>
      <c r="AA361" s="20">
        <v>0</v>
      </c>
      <c r="AB361" s="20">
        <v>0</v>
      </c>
      <c r="AC361" s="20">
        <v>0</v>
      </c>
      <c r="AD361" s="20">
        <v>0</v>
      </c>
      <c r="AE361" s="20">
        <v>0</v>
      </c>
      <c r="AF361" s="20">
        <v>0</v>
      </c>
      <c r="AG361" s="20">
        <v>0</v>
      </c>
    </row>
    <row r="362" spans="1:33" ht="45" customHeight="1" x14ac:dyDescent="0.2">
      <c r="A362" s="6">
        <v>4</v>
      </c>
      <c r="B362" s="6" t="s">
        <v>550</v>
      </c>
      <c r="C362" s="6">
        <v>3</v>
      </c>
      <c r="D362" s="6" t="s">
        <v>593</v>
      </c>
      <c r="E362" s="6" t="s">
        <v>594</v>
      </c>
      <c r="F362" s="6" t="s">
        <v>599</v>
      </c>
      <c r="G362" s="6" t="s">
        <v>600</v>
      </c>
      <c r="H362" s="6" t="s">
        <v>601</v>
      </c>
      <c r="I362" s="10">
        <v>2020051290057</v>
      </c>
      <c r="J362" s="6">
        <v>5</v>
      </c>
      <c r="K362" s="6">
        <v>4325</v>
      </c>
      <c r="L362" s="6" t="s">
        <v>606</v>
      </c>
      <c r="M362" s="6" t="s">
        <v>34</v>
      </c>
      <c r="N362" s="9" t="s">
        <v>35</v>
      </c>
      <c r="O362" s="6" t="s">
        <v>603</v>
      </c>
      <c r="P362" s="6" t="s">
        <v>37</v>
      </c>
      <c r="Q362" s="6">
        <v>1</v>
      </c>
      <c r="R362" s="21">
        <f t="shared" si="8"/>
        <v>37536403</v>
      </c>
      <c r="S362" s="21">
        <v>0</v>
      </c>
      <c r="T362" s="20">
        <v>0</v>
      </c>
      <c r="U362" s="20">
        <v>0</v>
      </c>
      <c r="V362" s="20">
        <v>0</v>
      </c>
      <c r="W362" s="20">
        <f>29304803+8231600</f>
        <v>37536403</v>
      </c>
      <c r="X362" s="20">
        <v>0</v>
      </c>
      <c r="Y362" s="20">
        <v>0</v>
      </c>
      <c r="Z362" s="20">
        <v>0</v>
      </c>
      <c r="AA362" s="20">
        <v>0</v>
      </c>
      <c r="AB362" s="20">
        <v>0</v>
      </c>
      <c r="AC362" s="20">
        <v>0</v>
      </c>
      <c r="AD362" s="20">
        <v>0</v>
      </c>
      <c r="AE362" s="20">
        <v>0</v>
      </c>
      <c r="AF362" s="20">
        <v>0</v>
      </c>
      <c r="AG362" s="20">
        <v>0</v>
      </c>
    </row>
    <row r="363" spans="1:33" ht="45" customHeight="1" x14ac:dyDescent="0.2">
      <c r="A363" s="6">
        <v>4</v>
      </c>
      <c r="B363" s="6" t="s">
        <v>550</v>
      </c>
      <c r="C363" s="6">
        <v>3</v>
      </c>
      <c r="D363" s="6" t="s">
        <v>593</v>
      </c>
      <c r="E363" s="6" t="s">
        <v>594</v>
      </c>
      <c r="F363" s="6" t="s">
        <v>595</v>
      </c>
      <c r="G363" s="6" t="s">
        <v>596</v>
      </c>
      <c r="H363" s="6" t="s">
        <v>575</v>
      </c>
      <c r="I363" s="10">
        <v>2020051290070</v>
      </c>
      <c r="J363" s="6">
        <v>1</v>
      </c>
      <c r="K363" s="6">
        <v>4311</v>
      </c>
      <c r="L363" s="28" t="s">
        <v>607</v>
      </c>
      <c r="M363" s="6" t="s">
        <v>34</v>
      </c>
      <c r="N363" s="9" t="s">
        <v>35</v>
      </c>
      <c r="O363" s="6" t="s">
        <v>422</v>
      </c>
      <c r="P363" s="6" t="s">
        <v>37</v>
      </c>
      <c r="Q363" s="6">
        <v>1</v>
      </c>
      <c r="R363" s="21">
        <f t="shared" si="8"/>
        <v>20000000</v>
      </c>
      <c r="S363" s="21">
        <v>0</v>
      </c>
      <c r="T363" s="20">
        <v>0</v>
      </c>
      <c r="U363" s="20">
        <v>0</v>
      </c>
      <c r="V363" s="20">
        <v>0</v>
      </c>
      <c r="W363" s="20">
        <v>20000000</v>
      </c>
      <c r="X363" s="20">
        <v>0</v>
      </c>
      <c r="Y363" s="20">
        <v>0</v>
      </c>
      <c r="Z363" s="20">
        <v>0</v>
      </c>
      <c r="AA363" s="20">
        <v>0</v>
      </c>
      <c r="AB363" s="20">
        <v>0</v>
      </c>
      <c r="AC363" s="20">
        <v>0</v>
      </c>
      <c r="AD363" s="20">
        <v>0</v>
      </c>
      <c r="AE363" s="20">
        <v>0</v>
      </c>
      <c r="AF363" s="20">
        <v>0</v>
      </c>
      <c r="AG363" s="20">
        <v>0</v>
      </c>
    </row>
    <row r="364" spans="1:33" ht="45" customHeight="1" x14ac:dyDescent="0.2">
      <c r="A364" s="6">
        <v>4</v>
      </c>
      <c r="B364" s="6" t="s">
        <v>550</v>
      </c>
      <c r="C364" s="6">
        <v>3</v>
      </c>
      <c r="D364" s="6" t="s">
        <v>593</v>
      </c>
      <c r="E364" s="6" t="s">
        <v>594</v>
      </c>
      <c r="F364" s="6" t="s">
        <v>595</v>
      </c>
      <c r="G364" s="6" t="s">
        <v>596</v>
      </c>
      <c r="H364" s="6" t="s">
        <v>575</v>
      </c>
      <c r="I364" s="10">
        <v>2020051290070</v>
      </c>
      <c r="J364" s="6">
        <v>3</v>
      </c>
      <c r="K364" s="6">
        <v>4313</v>
      </c>
      <c r="L364" s="28" t="s">
        <v>608</v>
      </c>
      <c r="M364" s="6" t="s">
        <v>34</v>
      </c>
      <c r="N364" s="9" t="s">
        <v>35</v>
      </c>
      <c r="O364" s="6" t="s">
        <v>422</v>
      </c>
      <c r="P364" s="6" t="s">
        <v>37</v>
      </c>
      <c r="Q364" s="6">
        <v>1</v>
      </c>
      <c r="R364" s="21">
        <f t="shared" si="8"/>
        <v>29000000</v>
      </c>
      <c r="S364" s="21">
        <v>0</v>
      </c>
      <c r="T364" s="20">
        <v>0</v>
      </c>
      <c r="U364" s="20">
        <v>0</v>
      </c>
      <c r="V364" s="20">
        <v>0</v>
      </c>
      <c r="W364" s="20">
        <v>29000000</v>
      </c>
      <c r="X364" s="20">
        <v>0</v>
      </c>
      <c r="Y364" s="20">
        <v>0</v>
      </c>
      <c r="Z364" s="20">
        <v>0</v>
      </c>
      <c r="AA364" s="20">
        <v>0</v>
      </c>
      <c r="AB364" s="20">
        <v>0</v>
      </c>
      <c r="AC364" s="20">
        <v>0</v>
      </c>
      <c r="AD364" s="20">
        <v>0</v>
      </c>
      <c r="AE364" s="20">
        <v>0</v>
      </c>
      <c r="AF364" s="20">
        <v>0</v>
      </c>
      <c r="AG364" s="20">
        <v>0</v>
      </c>
    </row>
    <row r="365" spans="1:33" ht="45" customHeight="1" x14ac:dyDescent="0.2">
      <c r="A365" s="6">
        <v>4</v>
      </c>
      <c r="B365" s="6" t="s">
        <v>550</v>
      </c>
      <c r="C365" s="6">
        <v>3</v>
      </c>
      <c r="D365" s="6" t="s">
        <v>593</v>
      </c>
      <c r="E365" s="6" t="s">
        <v>594</v>
      </c>
      <c r="F365" s="6" t="s">
        <v>595</v>
      </c>
      <c r="G365" s="6" t="s">
        <v>596</v>
      </c>
      <c r="H365" s="6" t="s">
        <v>575</v>
      </c>
      <c r="I365" s="10">
        <v>2020051290070</v>
      </c>
      <c r="J365" s="6">
        <v>5</v>
      </c>
      <c r="K365" s="6">
        <v>4315</v>
      </c>
      <c r="L365" s="28" t="s">
        <v>609</v>
      </c>
      <c r="M365" s="6" t="s">
        <v>34</v>
      </c>
      <c r="N365" s="9" t="s">
        <v>35</v>
      </c>
      <c r="O365" s="6" t="s">
        <v>422</v>
      </c>
      <c r="P365" s="6" t="s">
        <v>52</v>
      </c>
      <c r="Q365" s="6">
        <v>1</v>
      </c>
      <c r="R365" s="21">
        <f t="shared" si="8"/>
        <v>22500000</v>
      </c>
      <c r="S365" s="21">
        <v>0</v>
      </c>
      <c r="T365" s="20">
        <v>0</v>
      </c>
      <c r="U365" s="20">
        <v>0</v>
      </c>
      <c r="V365" s="20">
        <v>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  <c r="AC365" s="20">
        <v>0</v>
      </c>
      <c r="AD365" s="20">
        <v>22500000</v>
      </c>
      <c r="AE365" s="20">
        <v>0</v>
      </c>
      <c r="AF365" s="20">
        <v>0</v>
      </c>
      <c r="AG365" s="20">
        <v>0</v>
      </c>
    </row>
    <row r="366" spans="1:33" ht="45" customHeight="1" x14ac:dyDescent="0.2">
      <c r="A366" s="6">
        <v>4</v>
      </c>
      <c r="B366" s="6" t="s">
        <v>550</v>
      </c>
      <c r="C366" s="6">
        <v>3</v>
      </c>
      <c r="D366" s="6" t="s">
        <v>593</v>
      </c>
      <c r="E366" s="6" t="s">
        <v>594</v>
      </c>
      <c r="F366" s="6" t="s">
        <v>595</v>
      </c>
      <c r="G366" s="6" t="s">
        <v>596</v>
      </c>
      <c r="H366" s="6" t="s">
        <v>575</v>
      </c>
      <c r="I366" s="10">
        <v>2020051290070</v>
      </c>
      <c r="J366" s="6">
        <v>6</v>
      </c>
      <c r="K366" s="6">
        <v>4316</v>
      </c>
      <c r="L366" s="28" t="s">
        <v>610</v>
      </c>
      <c r="M366" s="6" t="s">
        <v>34</v>
      </c>
      <c r="N366" s="9" t="s">
        <v>35</v>
      </c>
      <c r="O366" s="6" t="s">
        <v>422</v>
      </c>
      <c r="P366" s="6" t="s">
        <v>52</v>
      </c>
      <c r="Q366" s="6">
        <v>1</v>
      </c>
      <c r="R366" s="21">
        <f t="shared" si="8"/>
        <v>7051963</v>
      </c>
      <c r="S366" s="21">
        <v>0</v>
      </c>
      <c r="T366" s="20">
        <v>0</v>
      </c>
      <c r="U366" s="20">
        <v>0</v>
      </c>
      <c r="V366" s="20">
        <v>0</v>
      </c>
      <c r="W366" s="20">
        <v>0</v>
      </c>
      <c r="X366" s="20">
        <v>0</v>
      </c>
      <c r="Y366" s="20">
        <v>0</v>
      </c>
      <c r="Z366" s="20">
        <v>0</v>
      </c>
      <c r="AA366" s="20">
        <v>0</v>
      </c>
      <c r="AB366" s="20">
        <v>0</v>
      </c>
      <c r="AC366" s="20">
        <v>0</v>
      </c>
      <c r="AD366" s="8">
        <v>7051963</v>
      </c>
      <c r="AE366" s="20">
        <v>0</v>
      </c>
      <c r="AF366" s="20">
        <v>0</v>
      </c>
      <c r="AG366" s="20">
        <v>0</v>
      </c>
    </row>
    <row r="367" spans="1:33" ht="45" customHeight="1" x14ac:dyDescent="0.2">
      <c r="A367" s="6">
        <v>4</v>
      </c>
      <c r="B367" s="6" t="s">
        <v>550</v>
      </c>
      <c r="C367" s="6">
        <v>3</v>
      </c>
      <c r="D367" s="6" t="s">
        <v>593</v>
      </c>
      <c r="E367" s="6" t="s">
        <v>594</v>
      </c>
      <c r="F367" s="6" t="s">
        <v>595</v>
      </c>
      <c r="G367" s="6" t="s">
        <v>596</v>
      </c>
      <c r="H367" s="6" t="s">
        <v>575</v>
      </c>
      <c r="I367" s="10">
        <v>2020051290070</v>
      </c>
      <c r="J367" s="6">
        <v>6</v>
      </c>
      <c r="K367" s="6">
        <v>4316</v>
      </c>
      <c r="L367" s="28" t="s">
        <v>610</v>
      </c>
      <c r="M367" s="6" t="s">
        <v>34</v>
      </c>
      <c r="N367" s="9" t="s">
        <v>35</v>
      </c>
      <c r="O367" s="6" t="s">
        <v>422</v>
      </c>
      <c r="P367" s="6" t="s">
        <v>37</v>
      </c>
      <c r="Q367" s="6">
        <v>1</v>
      </c>
      <c r="R367" s="21">
        <f t="shared" si="8"/>
        <v>47226952</v>
      </c>
      <c r="S367" s="21">
        <v>0</v>
      </c>
      <c r="T367" s="20">
        <v>0</v>
      </c>
      <c r="U367" s="20">
        <v>0</v>
      </c>
      <c r="V367" s="20">
        <v>0</v>
      </c>
      <c r="W367" s="8">
        <f>53948037+2197999-8919084</f>
        <v>47226952</v>
      </c>
      <c r="X367" s="20">
        <v>0</v>
      </c>
      <c r="Y367" s="20">
        <v>0</v>
      </c>
      <c r="Z367" s="20">
        <v>0</v>
      </c>
      <c r="AA367" s="20">
        <v>0</v>
      </c>
      <c r="AB367" s="20">
        <v>0</v>
      </c>
      <c r="AC367" s="20">
        <v>0</v>
      </c>
      <c r="AD367" s="20">
        <v>0</v>
      </c>
      <c r="AE367" s="20">
        <v>0</v>
      </c>
      <c r="AF367" s="20">
        <v>0</v>
      </c>
      <c r="AG367" s="20">
        <v>0</v>
      </c>
    </row>
    <row r="368" spans="1:33" ht="45" customHeight="1" x14ac:dyDescent="0.2">
      <c r="A368" s="6">
        <v>4</v>
      </c>
      <c r="B368" s="6" t="s">
        <v>550</v>
      </c>
      <c r="C368" s="6">
        <v>3</v>
      </c>
      <c r="D368" s="6" t="s">
        <v>593</v>
      </c>
      <c r="E368" s="6" t="s">
        <v>594</v>
      </c>
      <c r="F368" s="6" t="s">
        <v>611</v>
      </c>
      <c r="G368" s="6" t="s">
        <v>612</v>
      </c>
      <c r="H368" s="6" t="s">
        <v>613</v>
      </c>
      <c r="I368" s="10">
        <v>2020051290058</v>
      </c>
      <c r="J368" s="6">
        <v>1</v>
      </c>
      <c r="K368" s="6">
        <v>4331</v>
      </c>
      <c r="L368" s="28" t="s">
        <v>614</v>
      </c>
      <c r="M368" s="6" t="s">
        <v>34</v>
      </c>
      <c r="N368" s="9" t="s">
        <v>35</v>
      </c>
      <c r="O368" s="6" t="s">
        <v>581</v>
      </c>
      <c r="P368" s="6" t="s">
        <v>37</v>
      </c>
      <c r="Q368" s="6">
        <v>1</v>
      </c>
      <c r="R368" s="21">
        <f t="shared" si="8"/>
        <v>59411111</v>
      </c>
      <c r="S368" s="21">
        <v>0</v>
      </c>
      <c r="T368" s="20">
        <v>0</v>
      </c>
      <c r="U368" s="20">
        <v>0</v>
      </c>
      <c r="V368" s="20">
        <v>0</v>
      </c>
      <c r="W368" s="20">
        <f>24000000+35411111</f>
        <v>59411111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  <c r="AC368" s="20">
        <v>0</v>
      </c>
      <c r="AD368" s="20">
        <v>0</v>
      </c>
      <c r="AE368" s="20">
        <v>0</v>
      </c>
      <c r="AF368" s="20">
        <v>0</v>
      </c>
      <c r="AG368" s="20">
        <v>0</v>
      </c>
    </row>
    <row r="369" spans="1:33" ht="60" customHeight="1" x14ac:dyDescent="0.2">
      <c r="A369" s="6">
        <v>4</v>
      </c>
      <c r="B369" s="6" t="s">
        <v>550</v>
      </c>
      <c r="C369" s="6">
        <v>3</v>
      </c>
      <c r="D369" s="6" t="s">
        <v>593</v>
      </c>
      <c r="E369" s="6" t="s">
        <v>594</v>
      </c>
      <c r="F369" s="6" t="s">
        <v>599</v>
      </c>
      <c r="G369" s="6" t="s">
        <v>600</v>
      </c>
      <c r="H369" s="6" t="s">
        <v>601</v>
      </c>
      <c r="I369" s="10">
        <v>2020051290057</v>
      </c>
      <c r="J369" s="6">
        <v>4</v>
      </c>
      <c r="K369" s="6">
        <v>4324</v>
      </c>
      <c r="L369" s="6" t="s">
        <v>615</v>
      </c>
      <c r="M369" s="6" t="s">
        <v>34</v>
      </c>
      <c r="N369" s="9" t="s">
        <v>35</v>
      </c>
      <c r="O369" s="6" t="s">
        <v>581</v>
      </c>
      <c r="P369" s="6" t="s">
        <v>37</v>
      </c>
      <c r="Q369" s="6">
        <v>1</v>
      </c>
      <c r="R369" s="21">
        <f t="shared" si="8"/>
        <v>51833574</v>
      </c>
      <c r="S369" s="21">
        <v>0</v>
      </c>
      <c r="T369" s="20">
        <v>0</v>
      </c>
      <c r="U369" s="20">
        <v>0</v>
      </c>
      <c r="V369" s="20">
        <v>0</v>
      </c>
      <c r="W369" s="20">
        <f>27422457+15411117+9000000</f>
        <v>51833574</v>
      </c>
      <c r="X369" s="20">
        <v>0</v>
      </c>
      <c r="Y369" s="20">
        <v>0</v>
      </c>
      <c r="Z369" s="20">
        <v>0</v>
      </c>
      <c r="AA369" s="20">
        <v>0</v>
      </c>
      <c r="AB369" s="20">
        <v>0</v>
      </c>
      <c r="AC369" s="20">
        <v>0</v>
      </c>
      <c r="AD369" s="20">
        <v>0</v>
      </c>
      <c r="AE369" s="20">
        <v>0</v>
      </c>
      <c r="AF369" s="20">
        <v>0</v>
      </c>
      <c r="AG369" s="20">
        <v>0</v>
      </c>
    </row>
    <row r="370" spans="1:33" ht="45" customHeight="1" x14ac:dyDescent="0.2">
      <c r="A370" s="6">
        <v>4</v>
      </c>
      <c r="B370" s="6" t="s">
        <v>550</v>
      </c>
      <c r="C370" s="6">
        <v>3</v>
      </c>
      <c r="D370" s="6" t="s">
        <v>593</v>
      </c>
      <c r="E370" s="6" t="s">
        <v>594</v>
      </c>
      <c r="F370" s="6" t="s">
        <v>611</v>
      </c>
      <c r="G370" s="6" t="s">
        <v>612</v>
      </c>
      <c r="H370" s="6" t="s">
        <v>613</v>
      </c>
      <c r="I370" s="10">
        <v>2020051290058</v>
      </c>
      <c r="J370" s="6">
        <v>2</v>
      </c>
      <c r="K370" s="6">
        <v>4332</v>
      </c>
      <c r="L370" s="6" t="s">
        <v>616</v>
      </c>
      <c r="M370" s="6" t="s">
        <v>34</v>
      </c>
      <c r="N370" s="9" t="s">
        <v>35</v>
      </c>
      <c r="O370" s="6" t="s">
        <v>684</v>
      </c>
      <c r="P370" s="6" t="s">
        <v>37</v>
      </c>
      <c r="Q370" s="6">
        <v>1</v>
      </c>
      <c r="R370" s="21">
        <f t="shared" si="8"/>
        <v>158994136</v>
      </c>
      <c r="S370" s="21">
        <v>0</v>
      </c>
      <c r="T370" s="20">
        <v>0</v>
      </c>
      <c r="U370" s="20">
        <v>0</v>
      </c>
      <c r="V370" s="20">
        <v>0</v>
      </c>
      <c r="W370" s="20">
        <f>46000000+43577470+69416666</f>
        <v>158994136</v>
      </c>
      <c r="X370" s="20">
        <v>0</v>
      </c>
      <c r="Y370" s="20">
        <v>0</v>
      </c>
      <c r="Z370" s="20">
        <v>0</v>
      </c>
      <c r="AA370" s="20">
        <v>0</v>
      </c>
      <c r="AB370" s="20">
        <v>0</v>
      </c>
      <c r="AC370" s="20">
        <v>0</v>
      </c>
      <c r="AD370" s="20">
        <v>0</v>
      </c>
      <c r="AE370" s="20">
        <v>0</v>
      </c>
      <c r="AF370" s="20">
        <v>0</v>
      </c>
      <c r="AG370" s="20">
        <v>0</v>
      </c>
    </row>
    <row r="371" spans="1:33" ht="45" customHeight="1" x14ac:dyDescent="0.2">
      <c r="A371" s="6">
        <v>4</v>
      </c>
      <c r="B371" s="6" t="s">
        <v>550</v>
      </c>
      <c r="C371" s="6">
        <v>3</v>
      </c>
      <c r="D371" s="6" t="s">
        <v>593</v>
      </c>
      <c r="E371" s="6" t="s">
        <v>594</v>
      </c>
      <c r="F371" s="6" t="s">
        <v>617</v>
      </c>
      <c r="G371" s="6" t="s">
        <v>572</v>
      </c>
      <c r="H371" s="6" t="s">
        <v>618</v>
      </c>
      <c r="I371" s="10">
        <v>2020051290046</v>
      </c>
      <c r="J371" s="6">
        <v>1</v>
      </c>
      <c r="K371" s="6">
        <v>4341</v>
      </c>
      <c r="L371" s="6" t="s">
        <v>619</v>
      </c>
      <c r="M371" s="6" t="s">
        <v>34</v>
      </c>
      <c r="N371" s="9" t="s">
        <v>35</v>
      </c>
      <c r="O371" s="6" t="s">
        <v>684</v>
      </c>
      <c r="P371" s="6" t="s">
        <v>37</v>
      </c>
      <c r="Q371" s="6">
        <v>1</v>
      </c>
      <c r="R371" s="21">
        <f t="shared" si="8"/>
        <v>217154313</v>
      </c>
      <c r="S371" s="21">
        <v>0</v>
      </c>
      <c r="T371" s="20">
        <v>0</v>
      </c>
      <c r="U371" s="20">
        <v>0</v>
      </c>
      <c r="V371" s="20">
        <v>0</v>
      </c>
      <c r="W371" s="8">
        <f>104160177+43577470+69416666</f>
        <v>217154313</v>
      </c>
      <c r="X371" s="20">
        <v>0</v>
      </c>
      <c r="Y371" s="20">
        <v>0</v>
      </c>
      <c r="Z371" s="20">
        <v>0</v>
      </c>
      <c r="AA371" s="20">
        <v>0</v>
      </c>
      <c r="AB371" s="20">
        <v>0</v>
      </c>
      <c r="AC371" s="20">
        <v>0</v>
      </c>
      <c r="AD371" s="20">
        <v>0</v>
      </c>
      <c r="AE371" s="20">
        <v>0</v>
      </c>
      <c r="AF371" s="20">
        <v>0</v>
      </c>
      <c r="AG371" s="20">
        <v>0</v>
      </c>
    </row>
    <row r="372" spans="1:33" ht="45" customHeight="1" x14ac:dyDescent="0.2">
      <c r="A372" s="6">
        <v>4</v>
      </c>
      <c r="B372" s="6" t="s">
        <v>550</v>
      </c>
      <c r="C372" s="6">
        <v>3</v>
      </c>
      <c r="D372" s="6" t="s">
        <v>593</v>
      </c>
      <c r="E372" s="6" t="s">
        <v>594</v>
      </c>
      <c r="F372" s="6" t="s">
        <v>617</v>
      </c>
      <c r="G372" s="6" t="s">
        <v>572</v>
      </c>
      <c r="H372" s="6" t="s">
        <v>618</v>
      </c>
      <c r="I372" s="10">
        <v>2020051290046</v>
      </c>
      <c r="J372" s="6">
        <v>2</v>
      </c>
      <c r="K372" s="6">
        <v>4342</v>
      </c>
      <c r="L372" s="6" t="s">
        <v>620</v>
      </c>
      <c r="M372" s="6" t="s">
        <v>78</v>
      </c>
      <c r="N372" s="9" t="s">
        <v>152</v>
      </c>
      <c r="O372" s="6" t="s">
        <v>684</v>
      </c>
      <c r="P372" s="6" t="s">
        <v>37</v>
      </c>
      <c r="Q372" s="9">
        <v>1</v>
      </c>
      <c r="R372" s="21">
        <f t="shared" si="8"/>
        <v>190994136</v>
      </c>
      <c r="S372" s="21">
        <v>0</v>
      </c>
      <c r="T372" s="20">
        <v>0</v>
      </c>
      <c r="U372" s="20">
        <v>0</v>
      </c>
      <c r="V372" s="20">
        <v>0</v>
      </c>
      <c r="W372" s="20">
        <f>78000000+43577470+69416666</f>
        <v>190994136</v>
      </c>
      <c r="X372" s="20">
        <v>0</v>
      </c>
      <c r="Y372" s="20">
        <v>0</v>
      </c>
      <c r="Z372" s="20">
        <v>0</v>
      </c>
      <c r="AA372" s="20">
        <v>0</v>
      </c>
      <c r="AB372" s="20">
        <v>0</v>
      </c>
      <c r="AC372" s="20">
        <v>0</v>
      </c>
      <c r="AD372" s="20">
        <v>0</v>
      </c>
      <c r="AE372" s="20">
        <v>0</v>
      </c>
      <c r="AF372" s="20">
        <v>0</v>
      </c>
      <c r="AG372" s="20">
        <v>0</v>
      </c>
    </row>
    <row r="373" spans="1:33" ht="45" customHeight="1" x14ac:dyDescent="0.2">
      <c r="A373" s="6">
        <v>4</v>
      </c>
      <c r="B373" s="6" t="s">
        <v>550</v>
      </c>
      <c r="C373" s="6">
        <v>3</v>
      </c>
      <c r="D373" s="6" t="s">
        <v>593</v>
      </c>
      <c r="E373" s="6" t="s">
        <v>594</v>
      </c>
      <c r="F373" s="6" t="s">
        <v>617</v>
      </c>
      <c r="G373" s="6" t="s">
        <v>572</v>
      </c>
      <c r="H373" s="6" t="s">
        <v>618</v>
      </c>
      <c r="I373" s="10">
        <v>2020051290046</v>
      </c>
      <c r="J373" s="6">
        <v>3</v>
      </c>
      <c r="K373" s="6">
        <v>4343</v>
      </c>
      <c r="L373" s="6" t="s">
        <v>621</v>
      </c>
      <c r="M373" s="6" t="s">
        <v>78</v>
      </c>
      <c r="N373" s="9" t="s">
        <v>60</v>
      </c>
      <c r="O373" s="6" t="s">
        <v>684</v>
      </c>
      <c r="P373" s="6" t="s">
        <v>37</v>
      </c>
      <c r="Q373" s="9">
        <v>1</v>
      </c>
      <c r="R373" s="21">
        <f t="shared" si="8"/>
        <v>151994136</v>
      </c>
      <c r="S373" s="21">
        <v>0</v>
      </c>
      <c r="T373" s="20">
        <v>0</v>
      </c>
      <c r="U373" s="20">
        <v>0</v>
      </c>
      <c r="V373" s="20">
        <v>0</v>
      </c>
      <c r="W373" s="20">
        <f>39000000+43577470+69416666</f>
        <v>151994136</v>
      </c>
      <c r="X373" s="20">
        <v>0</v>
      </c>
      <c r="Y373" s="20">
        <v>0</v>
      </c>
      <c r="Z373" s="20">
        <v>0</v>
      </c>
      <c r="AA373" s="20">
        <v>0</v>
      </c>
      <c r="AB373" s="20">
        <v>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</row>
    <row r="374" spans="1:33" ht="45" customHeight="1" x14ac:dyDescent="0.2">
      <c r="A374" s="6">
        <v>4</v>
      </c>
      <c r="B374" s="6" t="s">
        <v>550</v>
      </c>
      <c r="C374" s="6">
        <v>3</v>
      </c>
      <c r="D374" s="6" t="s">
        <v>593</v>
      </c>
      <c r="E374" s="6" t="s">
        <v>594</v>
      </c>
      <c r="F374" s="6" t="s">
        <v>617</v>
      </c>
      <c r="G374" s="6" t="s">
        <v>572</v>
      </c>
      <c r="H374" s="6" t="s">
        <v>618</v>
      </c>
      <c r="I374" s="10">
        <v>2020051290046</v>
      </c>
      <c r="J374" s="6">
        <v>4</v>
      </c>
      <c r="K374" s="6">
        <v>4344</v>
      </c>
      <c r="L374" s="6" t="s">
        <v>622</v>
      </c>
      <c r="M374" s="6" t="s">
        <v>34</v>
      </c>
      <c r="N374" s="9" t="s">
        <v>35</v>
      </c>
      <c r="O374" s="6" t="s">
        <v>684</v>
      </c>
      <c r="P374" s="6" t="s">
        <v>37</v>
      </c>
      <c r="Q374" s="6">
        <v>1</v>
      </c>
      <c r="R374" s="21">
        <f t="shared" si="8"/>
        <v>125369136</v>
      </c>
      <c r="S374" s="21">
        <v>0</v>
      </c>
      <c r="T374" s="20">
        <v>0</v>
      </c>
      <c r="U374" s="20">
        <v>0</v>
      </c>
      <c r="V374" s="20">
        <v>0</v>
      </c>
      <c r="W374" s="20">
        <f>12375000+43577470+69416666</f>
        <v>125369136</v>
      </c>
      <c r="X374" s="20">
        <v>0</v>
      </c>
      <c r="Y374" s="20">
        <v>0</v>
      </c>
      <c r="Z374" s="20">
        <v>0</v>
      </c>
      <c r="AA374" s="20">
        <v>0</v>
      </c>
      <c r="AB374" s="20">
        <v>0</v>
      </c>
      <c r="AC374" s="20">
        <v>0</v>
      </c>
      <c r="AD374" s="20">
        <v>0</v>
      </c>
      <c r="AE374" s="20">
        <v>0</v>
      </c>
      <c r="AF374" s="20">
        <v>0</v>
      </c>
      <c r="AG374" s="20">
        <v>0</v>
      </c>
    </row>
    <row r="375" spans="1:33" ht="45" customHeight="1" x14ac:dyDescent="0.2">
      <c r="A375" s="6">
        <v>4</v>
      </c>
      <c r="B375" s="6" t="s">
        <v>550</v>
      </c>
      <c r="C375" s="6">
        <v>3</v>
      </c>
      <c r="D375" s="6" t="s">
        <v>593</v>
      </c>
      <c r="E375" s="6" t="s">
        <v>594</v>
      </c>
      <c r="F375" s="6" t="s">
        <v>617</v>
      </c>
      <c r="G375" s="6" t="s">
        <v>572</v>
      </c>
      <c r="H375" s="6" t="s">
        <v>618</v>
      </c>
      <c r="I375" s="10">
        <v>2020051290046</v>
      </c>
      <c r="J375" s="6">
        <v>5</v>
      </c>
      <c r="K375" s="6">
        <v>4345</v>
      </c>
      <c r="L375" s="6" t="s">
        <v>623</v>
      </c>
      <c r="M375" s="6" t="s">
        <v>34</v>
      </c>
      <c r="N375" s="9" t="s">
        <v>35</v>
      </c>
      <c r="O375" s="6" t="s">
        <v>684</v>
      </c>
      <c r="P375" s="6" t="s">
        <v>37</v>
      </c>
      <c r="Q375" s="6">
        <v>1</v>
      </c>
      <c r="R375" s="21">
        <f t="shared" si="8"/>
        <v>121994143</v>
      </c>
      <c r="S375" s="21">
        <v>0</v>
      </c>
      <c r="T375" s="20">
        <v>0</v>
      </c>
      <c r="U375" s="20">
        <v>0</v>
      </c>
      <c r="V375" s="20">
        <v>0</v>
      </c>
      <c r="W375" s="20">
        <f>9000000+43577473+69416666+4</f>
        <v>121994143</v>
      </c>
      <c r="X375" s="20">
        <v>0</v>
      </c>
      <c r="Y375" s="20">
        <v>0</v>
      </c>
      <c r="Z375" s="20">
        <v>0</v>
      </c>
      <c r="AA375" s="20">
        <v>0</v>
      </c>
      <c r="AB375" s="20">
        <v>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</row>
    <row r="376" spans="1:33" ht="45" customHeight="1" x14ac:dyDescent="0.2">
      <c r="A376" s="6">
        <v>4</v>
      </c>
      <c r="B376" s="6" t="s">
        <v>550</v>
      </c>
      <c r="C376" s="6">
        <v>4</v>
      </c>
      <c r="D376" s="6" t="s">
        <v>624</v>
      </c>
      <c r="E376" s="6" t="s">
        <v>625</v>
      </c>
      <c r="F376" s="6" t="s">
        <v>626</v>
      </c>
      <c r="G376" s="6" t="s">
        <v>120</v>
      </c>
      <c r="H376" s="6" t="s">
        <v>118</v>
      </c>
      <c r="I376" s="10">
        <v>2020051290045</v>
      </c>
      <c r="J376" s="6">
        <v>7</v>
      </c>
      <c r="K376" s="6">
        <v>4447</v>
      </c>
      <c r="L376" s="6" t="s">
        <v>627</v>
      </c>
      <c r="M376" s="6" t="s">
        <v>34</v>
      </c>
      <c r="N376" s="6" t="s">
        <v>35</v>
      </c>
      <c r="O376" s="6" t="s">
        <v>74</v>
      </c>
      <c r="P376" s="8" t="s">
        <v>161</v>
      </c>
      <c r="Q376" s="6">
        <v>1</v>
      </c>
      <c r="R376" s="21">
        <f t="shared" ref="R376:R404" si="9">SUM(S376:AG376)</f>
        <v>19000000</v>
      </c>
      <c r="S376" s="21">
        <v>0</v>
      </c>
      <c r="T376" s="20">
        <v>0</v>
      </c>
      <c r="U376" s="20">
        <v>0</v>
      </c>
      <c r="V376" s="20">
        <v>0</v>
      </c>
      <c r="W376" s="20">
        <v>0</v>
      </c>
      <c r="X376" s="20">
        <v>0</v>
      </c>
      <c r="Y376" s="20">
        <v>0</v>
      </c>
      <c r="Z376" s="20">
        <v>0</v>
      </c>
      <c r="AA376" s="20">
        <v>0</v>
      </c>
      <c r="AB376" s="20">
        <v>19000000</v>
      </c>
      <c r="AC376" s="20">
        <v>0</v>
      </c>
      <c r="AD376" s="20">
        <v>0</v>
      </c>
      <c r="AE376" s="20">
        <v>0</v>
      </c>
      <c r="AF376" s="20">
        <v>0</v>
      </c>
      <c r="AG376" s="20">
        <v>0</v>
      </c>
    </row>
    <row r="377" spans="1:33" ht="45" customHeight="1" x14ac:dyDescent="0.2">
      <c r="A377" s="6">
        <v>4</v>
      </c>
      <c r="B377" s="6" t="s">
        <v>550</v>
      </c>
      <c r="C377" s="6">
        <v>4</v>
      </c>
      <c r="D377" s="6" t="s">
        <v>624</v>
      </c>
      <c r="E377" s="6" t="s">
        <v>625</v>
      </c>
      <c r="F377" s="6" t="s">
        <v>628</v>
      </c>
      <c r="G377" s="6" t="s">
        <v>629</v>
      </c>
      <c r="H377" s="6" t="s">
        <v>630</v>
      </c>
      <c r="I377" s="10">
        <v>2020051290048</v>
      </c>
      <c r="J377" s="6">
        <v>1</v>
      </c>
      <c r="K377" s="6">
        <v>4411</v>
      </c>
      <c r="L377" s="6" t="s">
        <v>631</v>
      </c>
      <c r="M377" s="6" t="s">
        <v>34</v>
      </c>
      <c r="N377" s="9" t="s">
        <v>35</v>
      </c>
      <c r="O377" s="6" t="s">
        <v>677</v>
      </c>
      <c r="P377" s="6" t="s">
        <v>37</v>
      </c>
      <c r="Q377" s="6">
        <v>1</v>
      </c>
      <c r="R377" s="21">
        <f t="shared" si="9"/>
        <v>47115764</v>
      </c>
      <c r="S377" s="21">
        <v>0</v>
      </c>
      <c r="T377" s="20">
        <v>0</v>
      </c>
      <c r="U377" s="20">
        <v>0</v>
      </c>
      <c r="V377" s="20">
        <v>0</v>
      </c>
      <c r="W377" s="20">
        <v>47115764</v>
      </c>
      <c r="X377" s="20">
        <v>0</v>
      </c>
      <c r="Y377" s="20">
        <v>0</v>
      </c>
      <c r="Z377" s="20">
        <v>0</v>
      </c>
      <c r="AA377" s="20">
        <v>0</v>
      </c>
      <c r="AB377" s="20">
        <v>0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</row>
    <row r="378" spans="1:33" ht="45" customHeight="1" x14ac:dyDescent="0.2">
      <c r="A378" s="6">
        <v>4</v>
      </c>
      <c r="B378" s="6" t="s">
        <v>550</v>
      </c>
      <c r="C378" s="6">
        <v>4</v>
      </c>
      <c r="D378" s="6" t="s">
        <v>624</v>
      </c>
      <c r="E378" s="6" t="s">
        <v>625</v>
      </c>
      <c r="F378" s="6" t="s">
        <v>628</v>
      </c>
      <c r="G378" s="6" t="s">
        <v>629</v>
      </c>
      <c r="H378" s="6" t="s">
        <v>630</v>
      </c>
      <c r="I378" s="10">
        <v>2020051290048</v>
      </c>
      <c r="J378" s="6">
        <v>2</v>
      </c>
      <c r="K378" s="6">
        <v>4412</v>
      </c>
      <c r="L378" s="6" t="s">
        <v>633</v>
      </c>
      <c r="M378" s="6" t="s">
        <v>34</v>
      </c>
      <c r="N378" s="9" t="s">
        <v>35</v>
      </c>
      <c r="O378" s="6" t="s">
        <v>677</v>
      </c>
      <c r="P378" s="6" t="s">
        <v>37</v>
      </c>
      <c r="Q378" s="6">
        <v>6</v>
      </c>
      <c r="R378" s="21">
        <f t="shared" si="9"/>
        <v>21000000</v>
      </c>
      <c r="S378" s="21">
        <v>0</v>
      </c>
      <c r="T378" s="20">
        <v>0</v>
      </c>
      <c r="U378" s="20">
        <v>0</v>
      </c>
      <c r="V378" s="20">
        <v>0</v>
      </c>
      <c r="W378" s="20">
        <v>21000000</v>
      </c>
      <c r="X378" s="20">
        <v>0</v>
      </c>
      <c r="Y378" s="20">
        <v>0</v>
      </c>
      <c r="Z378" s="20">
        <v>0</v>
      </c>
      <c r="AA378" s="20">
        <v>0</v>
      </c>
      <c r="AB378" s="20">
        <v>0</v>
      </c>
      <c r="AC378" s="20">
        <v>0</v>
      </c>
      <c r="AD378" s="20">
        <v>0</v>
      </c>
      <c r="AE378" s="20">
        <v>0</v>
      </c>
      <c r="AF378" s="20">
        <v>0</v>
      </c>
      <c r="AG378" s="20">
        <v>0</v>
      </c>
    </row>
    <row r="379" spans="1:33" ht="45" customHeight="1" x14ac:dyDescent="0.2">
      <c r="A379" s="6">
        <v>4</v>
      </c>
      <c r="B379" s="6" t="s">
        <v>550</v>
      </c>
      <c r="C379" s="6">
        <v>4</v>
      </c>
      <c r="D379" s="6" t="s">
        <v>624</v>
      </c>
      <c r="E379" s="6" t="s">
        <v>625</v>
      </c>
      <c r="F379" s="6" t="s">
        <v>628</v>
      </c>
      <c r="G379" s="6" t="s">
        <v>629</v>
      </c>
      <c r="H379" s="6" t="s">
        <v>630</v>
      </c>
      <c r="I379" s="10">
        <v>2020051290048</v>
      </c>
      <c r="J379" s="6">
        <v>3</v>
      </c>
      <c r="K379" s="6">
        <v>4413</v>
      </c>
      <c r="L379" s="6" t="s">
        <v>634</v>
      </c>
      <c r="M379" s="6" t="s">
        <v>34</v>
      </c>
      <c r="N379" s="9" t="s">
        <v>35</v>
      </c>
      <c r="O379" s="6" t="s">
        <v>677</v>
      </c>
      <c r="P379" s="6" t="s">
        <v>37</v>
      </c>
      <c r="Q379" s="6">
        <v>1</v>
      </c>
      <c r="R379" s="21">
        <f t="shared" si="9"/>
        <v>162500000</v>
      </c>
      <c r="S379" s="21">
        <v>0</v>
      </c>
      <c r="T379" s="20">
        <v>0</v>
      </c>
      <c r="U379" s="20">
        <v>0</v>
      </c>
      <c r="V379" s="20">
        <v>0</v>
      </c>
      <c r="W379" s="20">
        <v>162500000</v>
      </c>
      <c r="X379" s="20">
        <v>0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0</v>
      </c>
      <c r="AF379" s="20">
        <v>0</v>
      </c>
      <c r="AG379" s="20">
        <v>0</v>
      </c>
    </row>
    <row r="380" spans="1:33" ht="56.25" customHeight="1" x14ac:dyDescent="0.2">
      <c r="A380" s="6">
        <v>4</v>
      </c>
      <c r="B380" s="6" t="s">
        <v>550</v>
      </c>
      <c r="C380" s="6">
        <v>4</v>
      </c>
      <c r="D380" s="6" t="s">
        <v>624</v>
      </c>
      <c r="E380" s="6" t="s">
        <v>625</v>
      </c>
      <c r="F380" s="6" t="s">
        <v>628</v>
      </c>
      <c r="G380" s="6" t="s">
        <v>629</v>
      </c>
      <c r="H380" s="6" t="s">
        <v>630</v>
      </c>
      <c r="I380" s="10">
        <v>2020051290048</v>
      </c>
      <c r="J380" s="6">
        <v>6</v>
      </c>
      <c r="K380" s="6">
        <v>4416</v>
      </c>
      <c r="L380" s="6" t="s">
        <v>635</v>
      </c>
      <c r="M380" s="6" t="s">
        <v>34</v>
      </c>
      <c r="N380" s="9" t="s">
        <v>35</v>
      </c>
      <c r="O380" s="6" t="s">
        <v>677</v>
      </c>
      <c r="P380" s="6" t="s">
        <v>37</v>
      </c>
      <c r="Q380" s="6">
        <v>1</v>
      </c>
      <c r="R380" s="21">
        <f t="shared" si="9"/>
        <v>24804125</v>
      </c>
      <c r="S380" s="21">
        <v>0</v>
      </c>
      <c r="T380" s="20">
        <v>0</v>
      </c>
      <c r="U380" s="20">
        <v>0</v>
      </c>
      <c r="V380" s="20">
        <v>0</v>
      </c>
      <c r="W380" s="20">
        <v>24804125</v>
      </c>
      <c r="X380" s="20">
        <v>0</v>
      </c>
      <c r="Y380" s="20">
        <v>0</v>
      </c>
      <c r="Z380" s="20">
        <v>0</v>
      </c>
      <c r="AA380" s="20">
        <v>0</v>
      </c>
      <c r="AB380" s="20">
        <v>0</v>
      </c>
      <c r="AC380" s="20">
        <v>0</v>
      </c>
      <c r="AD380" s="20">
        <v>0</v>
      </c>
      <c r="AE380" s="20">
        <v>0</v>
      </c>
      <c r="AF380" s="20">
        <v>0</v>
      </c>
      <c r="AG380" s="20">
        <v>0</v>
      </c>
    </row>
    <row r="381" spans="1:33" ht="60" customHeight="1" x14ac:dyDescent="0.2">
      <c r="A381" s="6">
        <v>4</v>
      </c>
      <c r="B381" s="6" t="s">
        <v>550</v>
      </c>
      <c r="C381" s="6">
        <v>4</v>
      </c>
      <c r="D381" s="6" t="s">
        <v>624</v>
      </c>
      <c r="E381" s="6" t="s">
        <v>625</v>
      </c>
      <c r="F381" s="6" t="s">
        <v>628</v>
      </c>
      <c r="G381" s="6" t="s">
        <v>629</v>
      </c>
      <c r="H381" s="6" t="s">
        <v>630</v>
      </c>
      <c r="I381" s="10">
        <v>2020051290048</v>
      </c>
      <c r="J381" s="6">
        <v>7</v>
      </c>
      <c r="K381" s="6">
        <v>4417</v>
      </c>
      <c r="L381" s="6" t="s">
        <v>636</v>
      </c>
      <c r="M381" s="6" t="s">
        <v>34</v>
      </c>
      <c r="N381" s="9" t="s">
        <v>35</v>
      </c>
      <c r="O381" s="6" t="s">
        <v>677</v>
      </c>
      <c r="P381" s="6" t="s">
        <v>37</v>
      </c>
      <c r="Q381" s="6">
        <v>1</v>
      </c>
      <c r="R381" s="21">
        <f t="shared" si="9"/>
        <v>20000000</v>
      </c>
      <c r="S381" s="21">
        <v>0</v>
      </c>
      <c r="T381" s="20">
        <v>0</v>
      </c>
      <c r="U381" s="20">
        <v>0</v>
      </c>
      <c r="V381" s="20">
        <v>0</v>
      </c>
      <c r="W381" s="20">
        <v>20000000</v>
      </c>
      <c r="X381" s="20">
        <v>0</v>
      </c>
      <c r="Y381" s="20">
        <v>0</v>
      </c>
      <c r="Z381" s="20">
        <v>0</v>
      </c>
      <c r="AA381" s="20">
        <v>0</v>
      </c>
      <c r="AB381" s="20">
        <v>0</v>
      </c>
      <c r="AC381" s="20">
        <v>0</v>
      </c>
      <c r="AD381" s="20">
        <v>0</v>
      </c>
      <c r="AE381" s="20">
        <v>0</v>
      </c>
      <c r="AF381" s="20">
        <v>0</v>
      </c>
      <c r="AG381" s="20">
        <v>0</v>
      </c>
    </row>
    <row r="382" spans="1:33" ht="45" customHeight="1" x14ac:dyDescent="0.2">
      <c r="A382" s="6">
        <v>4</v>
      </c>
      <c r="B382" s="6" t="s">
        <v>550</v>
      </c>
      <c r="C382" s="6">
        <v>4</v>
      </c>
      <c r="D382" s="6" t="s">
        <v>624</v>
      </c>
      <c r="E382" s="6" t="s">
        <v>625</v>
      </c>
      <c r="F382" s="6" t="s">
        <v>628</v>
      </c>
      <c r="G382" s="6" t="s">
        <v>629</v>
      </c>
      <c r="H382" s="6" t="s">
        <v>413</v>
      </c>
      <c r="I382" s="10">
        <v>2020051290047</v>
      </c>
      <c r="J382" s="6">
        <v>8</v>
      </c>
      <c r="K382" s="6">
        <v>4418</v>
      </c>
      <c r="L382" s="6" t="s">
        <v>637</v>
      </c>
      <c r="M382" s="6" t="s">
        <v>34</v>
      </c>
      <c r="N382" s="9" t="s">
        <v>35</v>
      </c>
      <c r="O382" s="6" t="s">
        <v>677</v>
      </c>
      <c r="P382" s="6" t="s">
        <v>37</v>
      </c>
      <c r="Q382" s="6">
        <v>1</v>
      </c>
      <c r="R382" s="21">
        <f t="shared" si="9"/>
        <v>85051078</v>
      </c>
      <c r="S382" s="21">
        <v>0</v>
      </c>
      <c r="T382" s="20">
        <v>0</v>
      </c>
      <c r="U382" s="20">
        <v>0</v>
      </c>
      <c r="V382" s="20">
        <v>0</v>
      </c>
      <c r="W382" s="20">
        <v>85051078</v>
      </c>
      <c r="X382" s="20">
        <v>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</row>
    <row r="383" spans="1:33" ht="45" customHeight="1" x14ac:dyDescent="0.2">
      <c r="A383" s="6">
        <v>4</v>
      </c>
      <c r="B383" s="6" t="s">
        <v>550</v>
      </c>
      <c r="C383" s="6">
        <v>4</v>
      </c>
      <c r="D383" s="6" t="s">
        <v>624</v>
      </c>
      <c r="E383" s="6" t="s">
        <v>625</v>
      </c>
      <c r="F383" s="6" t="s">
        <v>628</v>
      </c>
      <c r="G383" s="6" t="s">
        <v>629</v>
      </c>
      <c r="H383" s="6" t="s">
        <v>630</v>
      </c>
      <c r="I383" s="10">
        <v>2020051290048</v>
      </c>
      <c r="J383" s="6">
        <v>9</v>
      </c>
      <c r="K383" s="6">
        <v>4419</v>
      </c>
      <c r="L383" s="6" t="s">
        <v>638</v>
      </c>
      <c r="M383" s="6" t="s">
        <v>78</v>
      </c>
      <c r="N383" s="9" t="s">
        <v>60</v>
      </c>
      <c r="O383" s="6" t="s">
        <v>677</v>
      </c>
      <c r="P383" s="6" t="s">
        <v>37</v>
      </c>
      <c r="Q383" s="9">
        <v>1</v>
      </c>
      <c r="R383" s="21">
        <f t="shared" si="9"/>
        <v>79186094</v>
      </c>
      <c r="S383" s="21">
        <v>0</v>
      </c>
      <c r="T383" s="20">
        <v>0</v>
      </c>
      <c r="U383" s="20">
        <v>0</v>
      </c>
      <c r="V383" s="20">
        <v>0</v>
      </c>
      <c r="W383" s="20">
        <v>79186094</v>
      </c>
      <c r="X383" s="20">
        <v>0</v>
      </c>
      <c r="Y383" s="20">
        <v>0</v>
      </c>
      <c r="Z383" s="20">
        <v>0</v>
      </c>
      <c r="AA383" s="20">
        <v>0</v>
      </c>
      <c r="AB383" s="20">
        <v>0</v>
      </c>
      <c r="AC383" s="20">
        <v>0</v>
      </c>
      <c r="AD383" s="20">
        <v>0</v>
      </c>
      <c r="AE383" s="20">
        <v>0</v>
      </c>
      <c r="AF383" s="20">
        <v>0</v>
      </c>
      <c r="AG383" s="20">
        <v>0</v>
      </c>
    </row>
    <row r="384" spans="1:33" ht="45" customHeight="1" x14ac:dyDescent="0.2">
      <c r="A384" s="6">
        <v>4</v>
      </c>
      <c r="B384" s="6" t="s">
        <v>550</v>
      </c>
      <c r="C384" s="6">
        <v>4</v>
      </c>
      <c r="D384" s="6" t="s">
        <v>624</v>
      </c>
      <c r="E384" s="6" t="s">
        <v>625</v>
      </c>
      <c r="F384" s="6" t="s">
        <v>628</v>
      </c>
      <c r="G384" s="6" t="s">
        <v>629</v>
      </c>
      <c r="H384" s="6" t="s">
        <v>630</v>
      </c>
      <c r="I384" s="10">
        <v>2020051290048</v>
      </c>
      <c r="J384" s="6">
        <v>10</v>
      </c>
      <c r="K384" s="6">
        <v>44110</v>
      </c>
      <c r="L384" s="6" t="s">
        <v>639</v>
      </c>
      <c r="M384" s="6" t="s">
        <v>34</v>
      </c>
      <c r="N384" s="9" t="s">
        <v>35</v>
      </c>
      <c r="O384" s="6" t="s">
        <v>677</v>
      </c>
      <c r="P384" s="6" t="s">
        <v>37</v>
      </c>
      <c r="Q384" s="6">
        <v>1</v>
      </c>
      <c r="R384" s="21">
        <f t="shared" si="9"/>
        <v>13755242</v>
      </c>
      <c r="S384" s="21">
        <v>0</v>
      </c>
      <c r="T384" s="20">
        <v>0</v>
      </c>
      <c r="U384" s="20">
        <v>0</v>
      </c>
      <c r="V384" s="20">
        <v>0</v>
      </c>
      <c r="W384" s="20">
        <v>13755242</v>
      </c>
      <c r="X384" s="20">
        <v>0</v>
      </c>
      <c r="Y384" s="20">
        <v>0</v>
      </c>
      <c r="Z384" s="20">
        <v>0</v>
      </c>
      <c r="AA384" s="20">
        <v>0</v>
      </c>
      <c r="AB384" s="20">
        <v>0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</row>
    <row r="385" spans="1:33" ht="45" customHeight="1" x14ac:dyDescent="0.2">
      <c r="A385" s="6">
        <v>4</v>
      </c>
      <c r="B385" s="6" t="s">
        <v>550</v>
      </c>
      <c r="C385" s="6">
        <v>4</v>
      </c>
      <c r="D385" s="6" t="s">
        <v>624</v>
      </c>
      <c r="E385" s="6" t="s">
        <v>625</v>
      </c>
      <c r="F385" s="6" t="s">
        <v>628</v>
      </c>
      <c r="G385" s="6" t="s">
        <v>629</v>
      </c>
      <c r="H385" s="6" t="s">
        <v>630</v>
      </c>
      <c r="I385" s="10">
        <v>2020051290048</v>
      </c>
      <c r="J385" s="6">
        <v>11</v>
      </c>
      <c r="K385" s="6">
        <v>44111</v>
      </c>
      <c r="L385" s="6" t="s">
        <v>640</v>
      </c>
      <c r="M385" s="6" t="s">
        <v>34</v>
      </c>
      <c r="N385" s="9" t="s">
        <v>35</v>
      </c>
      <c r="O385" s="6" t="s">
        <v>677</v>
      </c>
      <c r="P385" s="6" t="s">
        <v>37</v>
      </c>
      <c r="Q385" s="6">
        <v>1</v>
      </c>
      <c r="R385" s="21">
        <f t="shared" si="9"/>
        <v>115290031</v>
      </c>
      <c r="S385" s="21">
        <v>0</v>
      </c>
      <c r="T385" s="20">
        <v>0</v>
      </c>
      <c r="U385" s="20">
        <v>0</v>
      </c>
      <c r="V385" s="20">
        <v>0</v>
      </c>
      <c r="W385" s="20">
        <f>26788260+6804057+81697714</f>
        <v>115290031</v>
      </c>
      <c r="X385" s="20">
        <v>0</v>
      </c>
      <c r="Y385" s="20">
        <v>0</v>
      </c>
      <c r="Z385" s="20">
        <v>0</v>
      </c>
      <c r="AA385" s="20">
        <v>0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</row>
    <row r="386" spans="1:33" ht="45" customHeight="1" x14ac:dyDescent="0.2">
      <c r="A386" s="6">
        <v>4</v>
      </c>
      <c r="B386" s="6" t="s">
        <v>550</v>
      </c>
      <c r="C386" s="6">
        <v>4</v>
      </c>
      <c r="D386" s="6" t="s">
        <v>624</v>
      </c>
      <c r="E386" s="6" t="s">
        <v>625</v>
      </c>
      <c r="F386" s="6" t="s">
        <v>628</v>
      </c>
      <c r="G386" s="6" t="s">
        <v>629</v>
      </c>
      <c r="H386" s="6" t="s">
        <v>630</v>
      </c>
      <c r="I386" s="10">
        <v>2020051290048</v>
      </c>
      <c r="J386" s="6">
        <v>12</v>
      </c>
      <c r="K386" s="6">
        <v>44112</v>
      </c>
      <c r="L386" s="6" t="s">
        <v>641</v>
      </c>
      <c r="M386" s="6" t="s">
        <v>34</v>
      </c>
      <c r="N386" s="9" t="s">
        <v>35</v>
      </c>
      <c r="O386" s="6" t="s">
        <v>677</v>
      </c>
      <c r="P386" s="6" t="s">
        <v>37</v>
      </c>
      <c r="Q386" s="6">
        <v>1</v>
      </c>
      <c r="R386" s="21">
        <f t="shared" si="9"/>
        <v>40000000</v>
      </c>
      <c r="S386" s="21">
        <v>0</v>
      </c>
      <c r="T386" s="20">
        <v>0</v>
      </c>
      <c r="U386" s="20">
        <v>0</v>
      </c>
      <c r="V386" s="20">
        <v>0</v>
      </c>
      <c r="W386" s="20">
        <v>40000000</v>
      </c>
      <c r="X386" s="20">
        <v>0</v>
      </c>
      <c r="Y386" s="20">
        <v>0</v>
      </c>
      <c r="Z386" s="20">
        <v>0</v>
      </c>
      <c r="AA386" s="20">
        <v>0</v>
      </c>
      <c r="AB386" s="20">
        <v>0</v>
      </c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</row>
    <row r="387" spans="1:33" ht="45" customHeight="1" x14ac:dyDescent="0.2">
      <c r="A387" s="6">
        <v>4</v>
      </c>
      <c r="B387" s="6" t="s">
        <v>550</v>
      </c>
      <c r="C387" s="6">
        <v>4</v>
      </c>
      <c r="D387" s="6" t="s">
        <v>624</v>
      </c>
      <c r="E387" s="6" t="s">
        <v>625</v>
      </c>
      <c r="F387" s="6" t="s">
        <v>628</v>
      </c>
      <c r="G387" s="6" t="s">
        <v>629</v>
      </c>
      <c r="H387" s="6" t="s">
        <v>413</v>
      </c>
      <c r="I387" s="10">
        <v>2020051290047</v>
      </c>
      <c r="J387" s="6">
        <v>13</v>
      </c>
      <c r="K387" s="6">
        <v>44113</v>
      </c>
      <c r="L387" s="6" t="s">
        <v>642</v>
      </c>
      <c r="M387" s="6" t="s">
        <v>34</v>
      </c>
      <c r="N387" s="9" t="s">
        <v>35</v>
      </c>
      <c r="O387" s="6" t="s">
        <v>677</v>
      </c>
      <c r="P387" s="6" t="s">
        <v>37</v>
      </c>
      <c r="Q387" s="6">
        <v>1</v>
      </c>
      <c r="R387" s="21">
        <f t="shared" si="9"/>
        <v>35000000</v>
      </c>
      <c r="S387" s="21">
        <v>0</v>
      </c>
      <c r="T387" s="20">
        <v>0</v>
      </c>
      <c r="U387" s="20">
        <v>0</v>
      </c>
      <c r="V387" s="20">
        <v>0</v>
      </c>
      <c r="W387" s="20">
        <v>35000000</v>
      </c>
      <c r="X387" s="20">
        <v>0</v>
      </c>
      <c r="Y387" s="20">
        <v>0</v>
      </c>
      <c r="Z387" s="20">
        <v>0</v>
      </c>
      <c r="AA387" s="20">
        <v>0</v>
      </c>
      <c r="AB387" s="20">
        <v>0</v>
      </c>
      <c r="AC387" s="20">
        <v>0</v>
      </c>
      <c r="AD387" s="20">
        <v>0</v>
      </c>
      <c r="AE387" s="20">
        <v>0</v>
      </c>
      <c r="AF387" s="20">
        <v>0</v>
      </c>
      <c r="AG387" s="20">
        <v>0</v>
      </c>
    </row>
    <row r="388" spans="1:33" ht="45" customHeight="1" x14ac:dyDescent="0.2">
      <c r="A388" s="6">
        <v>4</v>
      </c>
      <c r="B388" s="6" t="s">
        <v>550</v>
      </c>
      <c r="C388" s="6">
        <v>4</v>
      </c>
      <c r="D388" s="6" t="s">
        <v>624</v>
      </c>
      <c r="E388" s="6" t="s">
        <v>625</v>
      </c>
      <c r="F388" s="6" t="s">
        <v>628</v>
      </c>
      <c r="G388" s="6" t="s">
        <v>629</v>
      </c>
      <c r="H388" s="6" t="s">
        <v>630</v>
      </c>
      <c r="I388" s="10">
        <v>2020051290048</v>
      </c>
      <c r="J388" s="6">
        <v>14</v>
      </c>
      <c r="K388" s="6">
        <v>44114</v>
      </c>
      <c r="L388" s="6" t="s">
        <v>643</v>
      </c>
      <c r="M388" s="6" t="s">
        <v>34</v>
      </c>
      <c r="N388" s="9" t="s">
        <v>35</v>
      </c>
      <c r="O388" s="6" t="s">
        <v>677</v>
      </c>
      <c r="P388" s="6" t="s">
        <v>37</v>
      </c>
      <c r="Q388" s="6">
        <v>1</v>
      </c>
      <c r="R388" s="21">
        <f t="shared" si="9"/>
        <v>55000000</v>
      </c>
      <c r="S388" s="21">
        <v>0</v>
      </c>
      <c r="T388" s="20">
        <v>0</v>
      </c>
      <c r="U388" s="20">
        <v>0</v>
      </c>
      <c r="V388" s="20">
        <v>0</v>
      </c>
      <c r="W388" s="20">
        <v>55000000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</row>
    <row r="389" spans="1:33" ht="45" customHeight="1" x14ac:dyDescent="0.2">
      <c r="A389" s="6">
        <v>4</v>
      </c>
      <c r="B389" s="6" t="s">
        <v>550</v>
      </c>
      <c r="C389" s="6">
        <v>4</v>
      </c>
      <c r="D389" s="6" t="s">
        <v>624</v>
      </c>
      <c r="E389" s="6" t="s">
        <v>625</v>
      </c>
      <c r="F389" s="6" t="s">
        <v>628</v>
      </c>
      <c r="G389" s="6" t="s">
        <v>629</v>
      </c>
      <c r="H389" s="6" t="s">
        <v>413</v>
      </c>
      <c r="I389" s="10">
        <v>2020051290047</v>
      </c>
      <c r="J389" s="6">
        <v>16</v>
      </c>
      <c r="K389" s="6">
        <v>44116</v>
      </c>
      <c r="L389" s="6" t="s">
        <v>644</v>
      </c>
      <c r="M389" s="6" t="s">
        <v>34</v>
      </c>
      <c r="N389" s="9" t="s">
        <v>35</v>
      </c>
      <c r="O389" s="6" t="s">
        <v>677</v>
      </c>
      <c r="P389" s="6" t="s">
        <v>37</v>
      </c>
      <c r="Q389" s="6">
        <v>1</v>
      </c>
      <c r="R389" s="21">
        <f t="shared" si="9"/>
        <v>35000000</v>
      </c>
      <c r="S389" s="21">
        <v>0</v>
      </c>
      <c r="T389" s="20">
        <v>0</v>
      </c>
      <c r="U389" s="20">
        <v>0</v>
      </c>
      <c r="V389" s="20">
        <v>0</v>
      </c>
      <c r="W389" s="20">
        <v>35000000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</row>
    <row r="390" spans="1:33" ht="45" customHeight="1" x14ac:dyDescent="0.2">
      <c r="A390" s="6">
        <v>4</v>
      </c>
      <c r="B390" s="6" t="s">
        <v>550</v>
      </c>
      <c r="C390" s="6">
        <v>4</v>
      </c>
      <c r="D390" s="6" t="s">
        <v>624</v>
      </c>
      <c r="E390" s="6" t="s">
        <v>625</v>
      </c>
      <c r="F390" s="6" t="s">
        <v>628</v>
      </c>
      <c r="G390" s="6" t="s">
        <v>629</v>
      </c>
      <c r="H390" s="6" t="s">
        <v>630</v>
      </c>
      <c r="I390" s="10">
        <v>2020051290048</v>
      </c>
      <c r="J390" s="6">
        <v>17</v>
      </c>
      <c r="K390" s="6">
        <v>44117</v>
      </c>
      <c r="L390" s="6" t="s">
        <v>645</v>
      </c>
      <c r="M390" s="6" t="s">
        <v>34</v>
      </c>
      <c r="N390" s="9" t="s">
        <v>35</v>
      </c>
      <c r="O390" s="6" t="s">
        <v>677</v>
      </c>
      <c r="P390" s="6" t="s">
        <v>37</v>
      </c>
      <c r="Q390" s="6">
        <v>1</v>
      </c>
      <c r="R390" s="21">
        <f t="shared" si="9"/>
        <v>25000000</v>
      </c>
      <c r="S390" s="21">
        <v>0</v>
      </c>
      <c r="T390" s="20">
        <v>0</v>
      </c>
      <c r="U390" s="20">
        <v>0</v>
      </c>
      <c r="V390" s="20">
        <v>0</v>
      </c>
      <c r="W390" s="20">
        <v>25000000</v>
      </c>
      <c r="X390" s="20">
        <v>0</v>
      </c>
      <c r="Y390" s="20">
        <v>0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</row>
    <row r="391" spans="1:33" ht="45" customHeight="1" x14ac:dyDescent="0.2">
      <c r="A391" s="6">
        <v>4</v>
      </c>
      <c r="B391" s="6" t="s">
        <v>550</v>
      </c>
      <c r="C391" s="6">
        <v>4</v>
      </c>
      <c r="D391" s="6" t="s">
        <v>624</v>
      </c>
      <c r="E391" s="6" t="s">
        <v>625</v>
      </c>
      <c r="F391" s="6" t="s">
        <v>628</v>
      </c>
      <c r="G391" s="6" t="s">
        <v>629</v>
      </c>
      <c r="H391" s="6" t="s">
        <v>630</v>
      </c>
      <c r="I391" s="10">
        <v>2020051290048</v>
      </c>
      <c r="J391" s="6">
        <v>18</v>
      </c>
      <c r="K391" s="6">
        <v>44118</v>
      </c>
      <c r="L391" s="6" t="s">
        <v>646</v>
      </c>
      <c r="M391" s="6" t="s">
        <v>34</v>
      </c>
      <c r="N391" s="9" t="s">
        <v>35</v>
      </c>
      <c r="O391" s="6" t="s">
        <v>677</v>
      </c>
      <c r="P391" s="6" t="s">
        <v>37</v>
      </c>
      <c r="Q391" s="6">
        <v>1</v>
      </c>
      <c r="R391" s="21">
        <f t="shared" si="9"/>
        <v>40000000</v>
      </c>
      <c r="S391" s="21">
        <v>0</v>
      </c>
      <c r="T391" s="20">
        <v>0</v>
      </c>
      <c r="U391" s="20">
        <v>0</v>
      </c>
      <c r="V391" s="20">
        <v>0</v>
      </c>
      <c r="W391" s="20">
        <v>40000000</v>
      </c>
      <c r="X391" s="20">
        <v>0</v>
      </c>
      <c r="Y391" s="20">
        <v>0</v>
      </c>
      <c r="Z391" s="20">
        <v>0</v>
      </c>
      <c r="AA391" s="20">
        <v>0</v>
      </c>
      <c r="AB391" s="20">
        <v>0</v>
      </c>
      <c r="AC391" s="20">
        <v>0</v>
      </c>
      <c r="AD391" s="20">
        <v>0</v>
      </c>
      <c r="AE391" s="20">
        <v>0</v>
      </c>
      <c r="AF391" s="20">
        <v>0</v>
      </c>
      <c r="AG391" s="20">
        <v>0</v>
      </c>
    </row>
    <row r="392" spans="1:33" ht="45" customHeight="1" x14ac:dyDescent="0.2">
      <c r="A392" s="6">
        <v>4</v>
      </c>
      <c r="B392" s="6" t="s">
        <v>550</v>
      </c>
      <c r="C392" s="6">
        <v>4</v>
      </c>
      <c r="D392" s="6" t="s">
        <v>624</v>
      </c>
      <c r="E392" s="6" t="s">
        <v>625</v>
      </c>
      <c r="F392" s="6" t="s">
        <v>632</v>
      </c>
      <c r="G392" s="6" t="s">
        <v>647</v>
      </c>
      <c r="H392" s="6" t="s">
        <v>630</v>
      </c>
      <c r="I392" s="10">
        <v>2020051290048</v>
      </c>
      <c r="J392" s="6">
        <v>1</v>
      </c>
      <c r="K392" s="6">
        <v>4421</v>
      </c>
      <c r="L392" s="6" t="s">
        <v>648</v>
      </c>
      <c r="M392" s="6" t="s">
        <v>34</v>
      </c>
      <c r="N392" s="9" t="s">
        <v>35</v>
      </c>
      <c r="O392" s="6" t="s">
        <v>677</v>
      </c>
      <c r="P392" s="6" t="s">
        <v>37</v>
      </c>
      <c r="Q392" s="6">
        <v>1</v>
      </c>
      <c r="R392" s="21">
        <f t="shared" si="9"/>
        <v>30421225</v>
      </c>
      <c r="S392" s="21">
        <v>0</v>
      </c>
      <c r="T392" s="20">
        <v>0</v>
      </c>
      <c r="U392" s="20">
        <v>0</v>
      </c>
      <c r="V392" s="20">
        <v>0</v>
      </c>
      <c r="W392" s="20">
        <v>30421225</v>
      </c>
      <c r="X392" s="20">
        <v>0</v>
      </c>
      <c r="Y392" s="20">
        <v>0</v>
      </c>
      <c r="Z392" s="20">
        <v>0</v>
      </c>
      <c r="AA392" s="20">
        <v>0</v>
      </c>
      <c r="AB392" s="20">
        <v>0</v>
      </c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</row>
    <row r="393" spans="1:33" ht="45" customHeight="1" x14ac:dyDescent="0.2">
      <c r="A393" s="6">
        <v>4</v>
      </c>
      <c r="B393" s="6" t="s">
        <v>550</v>
      </c>
      <c r="C393" s="6">
        <v>4</v>
      </c>
      <c r="D393" s="6" t="s">
        <v>624</v>
      </c>
      <c r="E393" s="6" t="s">
        <v>625</v>
      </c>
      <c r="F393" s="6" t="s">
        <v>632</v>
      </c>
      <c r="G393" s="6" t="s">
        <v>647</v>
      </c>
      <c r="H393" s="6" t="s">
        <v>630</v>
      </c>
      <c r="I393" s="10">
        <v>2020051290048</v>
      </c>
      <c r="J393" s="6">
        <v>2</v>
      </c>
      <c r="K393" s="6">
        <v>4422</v>
      </c>
      <c r="L393" s="6" t="s">
        <v>649</v>
      </c>
      <c r="M393" s="6" t="s">
        <v>34</v>
      </c>
      <c r="N393" s="9" t="s">
        <v>35</v>
      </c>
      <c r="O393" s="6" t="s">
        <v>677</v>
      </c>
      <c r="P393" s="6" t="s">
        <v>37</v>
      </c>
      <c r="Q393" s="6">
        <v>2</v>
      </c>
      <c r="R393" s="21">
        <f t="shared" si="9"/>
        <v>25000000</v>
      </c>
      <c r="S393" s="21">
        <v>0</v>
      </c>
      <c r="T393" s="20">
        <v>0</v>
      </c>
      <c r="U393" s="20">
        <v>0</v>
      </c>
      <c r="V393" s="20">
        <v>0</v>
      </c>
      <c r="W393" s="20">
        <v>25000000</v>
      </c>
      <c r="X393" s="20">
        <v>0</v>
      </c>
      <c r="Y393" s="20">
        <v>0</v>
      </c>
      <c r="Z393" s="20">
        <v>0</v>
      </c>
      <c r="AA393" s="20">
        <v>0</v>
      </c>
      <c r="AB393" s="20">
        <v>0</v>
      </c>
      <c r="AC393" s="20">
        <v>0</v>
      </c>
      <c r="AD393" s="20">
        <v>0</v>
      </c>
      <c r="AE393" s="20">
        <v>0</v>
      </c>
      <c r="AF393" s="20">
        <v>0</v>
      </c>
      <c r="AG393" s="20">
        <v>0</v>
      </c>
    </row>
    <row r="394" spans="1:33" ht="45" customHeight="1" x14ac:dyDescent="0.2">
      <c r="A394" s="6">
        <v>4</v>
      </c>
      <c r="B394" s="6" t="s">
        <v>550</v>
      </c>
      <c r="C394" s="6">
        <v>4</v>
      </c>
      <c r="D394" s="6" t="s">
        <v>624</v>
      </c>
      <c r="E394" s="6" t="s">
        <v>625</v>
      </c>
      <c r="F394" s="6" t="s">
        <v>632</v>
      </c>
      <c r="G394" s="6" t="s">
        <v>647</v>
      </c>
      <c r="H394" s="6" t="s">
        <v>630</v>
      </c>
      <c r="I394" s="10">
        <v>2020051290048</v>
      </c>
      <c r="J394" s="6">
        <v>3</v>
      </c>
      <c r="K394" s="6">
        <v>4423</v>
      </c>
      <c r="L394" s="6" t="s">
        <v>650</v>
      </c>
      <c r="M394" s="6" t="s">
        <v>34</v>
      </c>
      <c r="N394" s="9" t="s">
        <v>35</v>
      </c>
      <c r="O394" s="6" t="s">
        <v>677</v>
      </c>
      <c r="P394" s="6" t="s">
        <v>37</v>
      </c>
      <c r="Q394" s="6">
        <v>1</v>
      </c>
      <c r="R394" s="21">
        <f t="shared" si="9"/>
        <v>10000000</v>
      </c>
      <c r="S394" s="21">
        <v>0</v>
      </c>
      <c r="T394" s="20">
        <v>0</v>
      </c>
      <c r="U394" s="20">
        <v>0</v>
      </c>
      <c r="V394" s="20">
        <v>0</v>
      </c>
      <c r="W394" s="20">
        <v>10000000</v>
      </c>
      <c r="X394" s="20">
        <v>0</v>
      </c>
      <c r="Y394" s="20">
        <v>0</v>
      </c>
      <c r="Z394" s="20">
        <v>0</v>
      </c>
      <c r="AA394" s="20">
        <v>0</v>
      </c>
      <c r="AB394" s="20">
        <v>0</v>
      </c>
      <c r="AC394" s="20">
        <v>0</v>
      </c>
      <c r="AD394" s="20">
        <v>0</v>
      </c>
      <c r="AE394" s="20">
        <v>0</v>
      </c>
      <c r="AF394" s="20">
        <v>0</v>
      </c>
      <c r="AG394" s="20">
        <v>0</v>
      </c>
    </row>
    <row r="395" spans="1:33" ht="45" customHeight="1" x14ac:dyDescent="0.2">
      <c r="A395" s="6">
        <v>4</v>
      </c>
      <c r="B395" s="6" t="s">
        <v>550</v>
      </c>
      <c r="C395" s="6">
        <v>4</v>
      </c>
      <c r="D395" s="6" t="s">
        <v>624</v>
      </c>
      <c r="E395" s="6" t="s">
        <v>625</v>
      </c>
      <c r="F395" s="6" t="s">
        <v>632</v>
      </c>
      <c r="G395" s="6" t="s">
        <v>647</v>
      </c>
      <c r="H395" s="6" t="s">
        <v>413</v>
      </c>
      <c r="I395" s="10">
        <v>2020051290047</v>
      </c>
      <c r="J395" s="6">
        <v>4</v>
      </c>
      <c r="K395" s="6">
        <v>4424</v>
      </c>
      <c r="L395" s="6" t="s">
        <v>651</v>
      </c>
      <c r="M395" s="6" t="s">
        <v>34</v>
      </c>
      <c r="N395" s="9" t="s">
        <v>35</v>
      </c>
      <c r="O395" s="6" t="s">
        <v>677</v>
      </c>
      <c r="P395" s="6" t="s">
        <v>37</v>
      </c>
      <c r="Q395" s="6">
        <v>1</v>
      </c>
      <c r="R395" s="21">
        <f t="shared" si="9"/>
        <v>16000000</v>
      </c>
      <c r="S395" s="21">
        <v>0</v>
      </c>
      <c r="T395" s="20">
        <v>0</v>
      </c>
      <c r="U395" s="20">
        <v>0</v>
      </c>
      <c r="V395" s="20">
        <v>0</v>
      </c>
      <c r="W395" s="20">
        <v>16000000</v>
      </c>
      <c r="X395" s="20">
        <v>0</v>
      </c>
      <c r="Y395" s="20">
        <v>0</v>
      </c>
      <c r="Z395" s="20">
        <v>0</v>
      </c>
      <c r="AA395" s="20">
        <v>0</v>
      </c>
      <c r="AB395" s="20">
        <v>0</v>
      </c>
      <c r="AC395" s="20">
        <v>0</v>
      </c>
      <c r="AD395" s="20">
        <v>0</v>
      </c>
      <c r="AE395" s="20">
        <v>0</v>
      </c>
      <c r="AF395" s="20">
        <v>0</v>
      </c>
      <c r="AG395" s="20">
        <v>0</v>
      </c>
    </row>
    <row r="396" spans="1:33" ht="45" customHeight="1" x14ac:dyDescent="0.2">
      <c r="A396" s="6">
        <v>4</v>
      </c>
      <c r="B396" s="6" t="s">
        <v>550</v>
      </c>
      <c r="C396" s="6">
        <v>4</v>
      </c>
      <c r="D396" s="6" t="s">
        <v>624</v>
      </c>
      <c r="E396" s="6" t="s">
        <v>625</v>
      </c>
      <c r="F396" s="6" t="s">
        <v>632</v>
      </c>
      <c r="G396" s="6" t="s">
        <v>647</v>
      </c>
      <c r="H396" s="6" t="s">
        <v>413</v>
      </c>
      <c r="I396" s="10">
        <v>2020051290047</v>
      </c>
      <c r="J396" s="6">
        <v>5</v>
      </c>
      <c r="K396" s="6">
        <v>4425</v>
      </c>
      <c r="L396" s="6" t="s">
        <v>652</v>
      </c>
      <c r="M396" s="6" t="s">
        <v>34</v>
      </c>
      <c r="N396" s="9" t="s">
        <v>35</v>
      </c>
      <c r="O396" s="6" t="s">
        <v>677</v>
      </c>
      <c r="P396" s="6" t="s">
        <v>37</v>
      </c>
      <c r="Q396" s="6">
        <v>2</v>
      </c>
      <c r="R396" s="21">
        <f t="shared" si="9"/>
        <v>11500000</v>
      </c>
      <c r="S396" s="21">
        <v>0</v>
      </c>
      <c r="T396" s="20">
        <v>0</v>
      </c>
      <c r="U396" s="20">
        <v>0</v>
      </c>
      <c r="V396" s="20">
        <v>0</v>
      </c>
      <c r="W396" s="20">
        <v>11500000</v>
      </c>
      <c r="X396" s="20">
        <v>0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  <c r="AE396" s="20">
        <v>0</v>
      </c>
      <c r="AF396" s="20">
        <v>0</v>
      </c>
      <c r="AG396" s="20">
        <v>0</v>
      </c>
    </row>
    <row r="397" spans="1:33" ht="45" customHeight="1" x14ac:dyDescent="0.2">
      <c r="A397" s="6">
        <v>4</v>
      </c>
      <c r="B397" s="6" t="s">
        <v>550</v>
      </c>
      <c r="C397" s="6">
        <v>4</v>
      </c>
      <c r="D397" s="6" t="s">
        <v>624</v>
      </c>
      <c r="E397" s="6" t="s">
        <v>625</v>
      </c>
      <c r="F397" s="6" t="s">
        <v>653</v>
      </c>
      <c r="G397" s="6" t="s">
        <v>654</v>
      </c>
      <c r="H397" s="6" t="s">
        <v>630</v>
      </c>
      <c r="I397" s="10">
        <v>2020051290048</v>
      </c>
      <c r="J397" s="6">
        <v>1</v>
      </c>
      <c r="K397" s="6">
        <v>4431</v>
      </c>
      <c r="L397" s="6" t="s">
        <v>655</v>
      </c>
      <c r="M397" s="6" t="s">
        <v>34</v>
      </c>
      <c r="N397" s="9" t="s">
        <v>35</v>
      </c>
      <c r="O397" s="6" t="s">
        <v>677</v>
      </c>
      <c r="P397" s="6" t="s">
        <v>37</v>
      </c>
      <c r="Q397" s="6">
        <v>1</v>
      </c>
      <c r="R397" s="21">
        <f t="shared" si="9"/>
        <v>29000000</v>
      </c>
      <c r="S397" s="21">
        <v>0</v>
      </c>
      <c r="T397" s="20">
        <v>0</v>
      </c>
      <c r="U397" s="20">
        <v>0</v>
      </c>
      <c r="V397" s="20">
        <v>0</v>
      </c>
      <c r="W397" s="20">
        <v>29000000</v>
      </c>
      <c r="X397" s="20">
        <v>0</v>
      </c>
      <c r="Y397" s="20">
        <v>0</v>
      </c>
      <c r="Z397" s="20">
        <v>0</v>
      </c>
      <c r="AA397" s="20">
        <v>0</v>
      </c>
      <c r="AB397" s="20">
        <v>0</v>
      </c>
      <c r="AC397" s="20">
        <v>0</v>
      </c>
      <c r="AD397" s="20">
        <v>0</v>
      </c>
      <c r="AE397" s="20">
        <v>0</v>
      </c>
      <c r="AF397" s="20">
        <v>0</v>
      </c>
      <c r="AG397" s="20">
        <v>0</v>
      </c>
    </row>
    <row r="398" spans="1:33" ht="45" customHeight="1" x14ac:dyDescent="0.2">
      <c r="A398" s="6">
        <v>4</v>
      </c>
      <c r="B398" s="6" t="s">
        <v>550</v>
      </c>
      <c r="C398" s="6">
        <v>4</v>
      </c>
      <c r="D398" s="6" t="s">
        <v>624</v>
      </c>
      <c r="E398" s="6" t="s">
        <v>625</v>
      </c>
      <c r="F398" s="6" t="s">
        <v>653</v>
      </c>
      <c r="G398" s="6" t="s">
        <v>654</v>
      </c>
      <c r="H398" s="6" t="s">
        <v>630</v>
      </c>
      <c r="I398" s="10">
        <v>2020051290048</v>
      </c>
      <c r="J398" s="6">
        <v>2</v>
      </c>
      <c r="K398" s="6">
        <v>4432</v>
      </c>
      <c r="L398" s="6" t="s">
        <v>656</v>
      </c>
      <c r="M398" s="6" t="s">
        <v>34</v>
      </c>
      <c r="N398" s="9" t="s">
        <v>35</v>
      </c>
      <c r="O398" s="6" t="s">
        <v>677</v>
      </c>
      <c r="P398" s="6" t="s">
        <v>37</v>
      </c>
      <c r="Q398" s="6">
        <v>1</v>
      </c>
      <c r="R398" s="21">
        <f t="shared" si="9"/>
        <v>25000000</v>
      </c>
      <c r="S398" s="21">
        <v>0</v>
      </c>
      <c r="T398" s="20">
        <v>0</v>
      </c>
      <c r="U398" s="20">
        <v>0</v>
      </c>
      <c r="V398" s="20">
        <v>0</v>
      </c>
      <c r="W398" s="20">
        <v>25000000</v>
      </c>
      <c r="X398" s="20">
        <v>0</v>
      </c>
      <c r="Y398" s="20">
        <v>0</v>
      </c>
      <c r="Z398" s="20">
        <v>0</v>
      </c>
      <c r="AA398" s="20">
        <v>0</v>
      </c>
      <c r="AB398" s="20">
        <v>0</v>
      </c>
      <c r="AC398" s="20">
        <v>0</v>
      </c>
      <c r="AD398" s="20">
        <v>0</v>
      </c>
      <c r="AE398" s="20">
        <v>0</v>
      </c>
      <c r="AF398" s="20">
        <v>0</v>
      </c>
      <c r="AG398" s="20">
        <v>0</v>
      </c>
    </row>
    <row r="399" spans="1:33" ht="45" customHeight="1" x14ac:dyDescent="0.2">
      <c r="A399" s="6">
        <v>4</v>
      </c>
      <c r="B399" s="6" t="s">
        <v>550</v>
      </c>
      <c r="C399" s="6">
        <v>4</v>
      </c>
      <c r="D399" s="6" t="s">
        <v>624</v>
      </c>
      <c r="E399" s="6" t="s">
        <v>625</v>
      </c>
      <c r="F399" s="6" t="s">
        <v>653</v>
      </c>
      <c r="G399" s="6" t="s">
        <v>654</v>
      </c>
      <c r="H399" s="6" t="s">
        <v>630</v>
      </c>
      <c r="I399" s="10">
        <v>2020051290048</v>
      </c>
      <c r="J399" s="6">
        <v>3</v>
      </c>
      <c r="K399" s="6">
        <v>4433</v>
      </c>
      <c r="L399" s="6" t="s">
        <v>657</v>
      </c>
      <c r="M399" s="6" t="s">
        <v>46</v>
      </c>
      <c r="N399" s="9" t="s">
        <v>60</v>
      </c>
      <c r="O399" s="6" t="s">
        <v>677</v>
      </c>
      <c r="P399" s="6" t="s">
        <v>37</v>
      </c>
      <c r="Q399" s="9">
        <v>1</v>
      </c>
      <c r="R399" s="21">
        <f t="shared" si="9"/>
        <v>25000000</v>
      </c>
      <c r="S399" s="21">
        <v>0</v>
      </c>
      <c r="T399" s="20">
        <v>0</v>
      </c>
      <c r="U399" s="20">
        <v>0</v>
      </c>
      <c r="V399" s="20">
        <v>0</v>
      </c>
      <c r="W399" s="20">
        <v>25000000</v>
      </c>
      <c r="X399" s="20">
        <v>0</v>
      </c>
      <c r="Y399" s="20">
        <v>0</v>
      </c>
      <c r="Z399" s="20">
        <v>0</v>
      </c>
      <c r="AA399" s="20">
        <v>0</v>
      </c>
      <c r="AB399" s="20">
        <v>0</v>
      </c>
      <c r="AC399" s="20">
        <v>0</v>
      </c>
      <c r="AD399" s="20">
        <v>0</v>
      </c>
      <c r="AE399" s="20">
        <v>0</v>
      </c>
      <c r="AF399" s="20">
        <v>0</v>
      </c>
      <c r="AG399" s="20">
        <v>0</v>
      </c>
    </row>
    <row r="400" spans="1:33" ht="45" customHeight="1" x14ac:dyDescent="0.2">
      <c r="A400" s="6">
        <v>4</v>
      </c>
      <c r="B400" s="6" t="s">
        <v>550</v>
      </c>
      <c r="C400" s="6">
        <v>4</v>
      </c>
      <c r="D400" s="6" t="s">
        <v>624</v>
      </c>
      <c r="E400" s="6" t="s">
        <v>625</v>
      </c>
      <c r="F400" s="6" t="s">
        <v>626</v>
      </c>
      <c r="G400" s="6" t="s">
        <v>120</v>
      </c>
      <c r="H400" s="6" t="s">
        <v>118</v>
      </c>
      <c r="I400" s="10">
        <v>2020051290045</v>
      </c>
      <c r="J400" s="6">
        <v>1</v>
      </c>
      <c r="K400" s="6">
        <v>4441</v>
      </c>
      <c r="L400" s="6" t="s">
        <v>658</v>
      </c>
      <c r="M400" s="6" t="s">
        <v>34</v>
      </c>
      <c r="N400" s="9" t="s">
        <v>35</v>
      </c>
      <c r="O400" s="6" t="s">
        <v>677</v>
      </c>
      <c r="P400" s="6" t="s">
        <v>52</v>
      </c>
      <c r="Q400" s="6">
        <v>1</v>
      </c>
      <c r="R400" s="21">
        <f t="shared" si="9"/>
        <v>15000000</v>
      </c>
      <c r="S400" s="21">
        <v>0</v>
      </c>
      <c r="T400" s="20">
        <v>0</v>
      </c>
      <c r="U400" s="20">
        <v>0</v>
      </c>
      <c r="V400" s="20">
        <v>0</v>
      </c>
      <c r="W400" s="20">
        <v>0</v>
      </c>
      <c r="X400" s="19">
        <v>0</v>
      </c>
      <c r="Y400" s="19">
        <v>0</v>
      </c>
      <c r="Z400" s="19">
        <v>0</v>
      </c>
      <c r="AA400" s="19">
        <v>0</v>
      </c>
      <c r="AB400" s="19">
        <v>0</v>
      </c>
      <c r="AC400" s="19">
        <v>0</v>
      </c>
      <c r="AD400" s="19">
        <v>15000000</v>
      </c>
      <c r="AE400" s="19">
        <v>0</v>
      </c>
      <c r="AF400" s="19">
        <v>0</v>
      </c>
      <c r="AG400" s="20">
        <v>0</v>
      </c>
    </row>
    <row r="401" spans="1:34" ht="45" customHeight="1" x14ac:dyDescent="0.2">
      <c r="A401" s="6">
        <v>4</v>
      </c>
      <c r="B401" s="6" t="s">
        <v>550</v>
      </c>
      <c r="C401" s="6">
        <v>4</v>
      </c>
      <c r="D401" s="6" t="s">
        <v>624</v>
      </c>
      <c r="E401" s="6" t="s">
        <v>625</v>
      </c>
      <c r="F401" s="6" t="s">
        <v>626</v>
      </c>
      <c r="G401" s="6" t="s">
        <v>120</v>
      </c>
      <c r="H401" s="6" t="s">
        <v>118</v>
      </c>
      <c r="I401" s="10">
        <v>2020051290045</v>
      </c>
      <c r="J401" s="6">
        <v>2</v>
      </c>
      <c r="K401" s="6">
        <v>4442</v>
      </c>
      <c r="L401" s="6" t="s">
        <v>659</v>
      </c>
      <c r="M401" s="6" t="s">
        <v>34</v>
      </c>
      <c r="N401" s="9" t="s">
        <v>35</v>
      </c>
      <c r="O401" s="6" t="s">
        <v>677</v>
      </c>
      <c r="P401" s="6" t="s">
        <v>52</v>
      </c>
      <c r="Q401" s="6">
        <v>1</v>
      </c>
      <c r="R401" s="21">
        <f t="shared" si="9"/>
        <v>15000000</v>
      </c>
      <c r="S401" s="21">
        <v>0</v>
      </c>
      <c r="T401" s="20">
        <v>0</v>
      </c>
      <c r="U401" s="20">
        <v>0</v>
      </c>
      <c r="V401" s="20">
        <v>0</v>
      </c>
      <c r="W401" s="20">
        <v>0</v>
      </c>
      <c r="X401" s="19">
        <v>0</v>
      </c>
      <c r="Y401" s="19">
        <v>0</v>
      </c>
      <c r="Z401" s="19">
        <v>0</v>
      </c>
      <c r="AA401" s="19">
        <v>0</v>
      </c>
      <c r="AB401" s="19">
        <v>0</v>
      </c>
      <c r="AC401" s="19">
        <v>0</v>
      </c>
      <c r="AD401" s="19">
        <v>15000000</v>
      </c>
      <c r="AE401" s="19">
        <v>0</v>
      </c>
      <c r="AF401" s="19">
        <v>0</v>
      </c>
      <c r="AG401" s="20">
        <v>0</v>
      </c>
    </row>
    <row r="402" spans="1:34" ht="45" customHeight="1" x14ac:dyDescent="0.2">
      <c r="A402" s="6">
        <v>4</v>
      </c>
      <c r="B402" s="6" t="s">
        <v>550</v>
      </c>
      <c r="C402" s="6">
        <v>4</v>
      </c>
      <c r="D402" s="6" t="s">
        <v>624</v>
      </c>
      <c r="E402" s="6" t="s">
        <v>625</v>
      </c>
      <c r="F402" s="6" t="s">
        <v>626</v>
      </c>
      <c r="G402" s="6" t="s">
        <v>120</v>
      </c>
      <c r="H402" s="6" t="s">
        <v>118</v>
      </c>
      <c r="I402" s="10">
        <v>2020051290045</v>
      </c>
      <c r="J402" s="6">
        <v>4</v>
      </c>
      <c r="K402" s="6">
        <v>4444</v>
      </c>
      <c r="L402" s="6" t="s">
        <v>660</v>
      </c>
      <c r="M402" s="6" t="s">
        <v>34</v>
      </c>
      <c r="N402" s="9" t="s">
        <v>35</v>
      </c>
      <c r="O402" s="6" t="s">
        <v>677</v>
      </c>
      <c r="P402" s="6" t="s">
        <v>52</v>
      </c>
      <c r="Q402" s="6">
        <v>1</v>
      </c>
      <c r="R402" s="21">
        <f t="shared" si="9"/>
        <v>13575000</v>
      </c>
      <c r="S402" s="21">
        <v>0</v>
      </c>
      <c r="T402" s="20">
        <v>0</v>
      </c>
      <c r="U402" s="20">
        <v>0</v>
      </c>
      <c r="V402" s="20">
        <v>0</v>
      </c>
      <c r="W402" s="20">
        <v>0</v>
      </c>
      <c r="X402" s="19">
        <v>0</v>
      </c>
      <c r="Y402" s="19">
        <v>0</v>
      </c>
      <c r="Z402" s="19">
        <v>0</v>
      </c>
      <c r="AA402" s="19">
        <v>0</v>
      </c>
      <c r="AB402" s="19">
        <v>0</v>
      </c>
      <c r="AC402" s="19">
        <v>0</v>
      </c>
      <c r="AD402" s="19">
        <f>15000000-1425000</f>
        <v>13575000</v>
      </c>
      <c r="AE402" s="19">
        <v>0</v>
      </c>
      <c r="AF402" s="19">
        <v>0</v>
      </c>
      <c r="AG402" s="20">
        <v>0</v>
      </c>
    </row>
    <row r="403" spans="1:34" ht="45" customHeight="1" x14ac:dyDescent="0.2">
      <c r="A403" s="6">
        <v>4</v>
      </c>
      <c r="B403" s="6" t="s">
        <v>550</v>
      </c>
      <c r="C403" s="6">
        <v>4</v>
      </c>
      <c r="D403" s="6" t="s">
        <v>624</v>
      </c>
      <c r="E403" s="6" t="s">
        <v>625</v>
      </c>
      <c r="F403" s="6" t="s">
        <v>626</v>
      </c>
      <c r="G403" s="6" t="s">
        <v>120</v>
      </c>
      <c r="H403" s="6" t="s">
        <v>118</v>
      </c>
      <c r="I403" s="10">
        <v>2020051290045</v>
      </c>
      <c r="J403" s="6">
        <v>5</v>
      </c>
      <c r="K403" s="6">
        <v>4445</v>
      </c>
      <c r="L403" s="6" t="s">
        <v>661</v>
      </c>
      <c r="M403" s="6" t="s">
        <v>34</v>
      </c>
      <c r="N403" s="6" t="s">
        <v>35</v>
      </c>
      <c r="O403" s="6" t="s">
        <v>677</v>
      </c>
      <c r="P403" s="8" t="s">
        <v>37</v>
      </c>
      <c r="Q403" s="6">
        <v>1</v>
      </c>
      <c r="R403" s="21">
        <f t="shared" si="9"/>
        <v>15107169</v>
      </c>
      <c r="S403" s="21">
        <v>0</v>
      </c>
      <c r="T403" s="20">
        <v>0</v>
      </c>
      <c r="U403" s="20">
        <v>0</v>
      </c>
      <c r="V403" s="20">
        <v>0</v>
      </c>
      <c r="W403" s="20">
        <f>11565169+3542000</f>
        <v>15107169</v>
      </c>
      <c r="X403" s="20">
        <v>0</v>
      </c>
      <c r="Y403" s="20">
        <v>0</v>
      </c>
      <c r="Z403" s="20">
        <v>0</v>
      </c>
      <c r="AA403" s="20">
        <v>0</v>
      </c>
      <c r="AB403" s="20">
        <v>0</v>
      </c>
      <c r="AC403" s="20">
        <v>0</v>
      </c>
      <c r="AD403" s="20">
        <v>0</v>
      </c>
      <c r="AE403" s="20">
        <v>0</v>
      </c>
      <c r="AF403" s="20">
        <v>0</v>
      </c>
      <c r="AG403" s="20">
        <v>0</v>
      </c>
    </row>
    <row r="404" spans="1:34" ht="45" customHeight="1" x14ac:dyDescent="0.2">
      <c r="A404" s="6">
        <v>4</v>
      </c>
      <c r="B404" s="6" t="s">
        <v>550</v>
      </c>
      <c r="C404" s="6">
        <v>4</v>
      </c>
      <c r="D404" s="6" t="s">
        <v>624</v>
      </c>
      <c r="E404" s="6" t="s">
        <v>625</v>
      </c>
      <c r="F404" s="6" t="s">
        <v>626</v>
      </c>
      <c r="G404" s="6" t="s">
        <v>120</v>
      </c>
      <c r="H404" s="6" t="s">
        <v>118</v>
      </c>
      <c r="I404" s="10">
        <v>2020051290045</v>
      </c>
      <c r="J404" s="6">
        <v>6</v>
      </c>
      <c r="K404" s="6">
        <v>4446</v>
      </c>
      <c r="L404" s="6" t="s">
        <v>662</v>
      </c>
      <c r="M404" s="6" t="s">
        <v>34</v>
      </c>
      <c r="N404" s="6" t="s">
        <v>35</v>
      </c>
      <c r="O404" s="6" t="s">
        <v>677</v>
      </c>
      <c r="P404" s="8" t="s">
        <v>52</v>
      </c>
      <c r="Q404" s="6">
        <v>1</v>
      </c>
      <c r="R404" s="21">
        <f t="shared" si="9"/>
        <v>8000000</v>
      </c>
      <c r="S404" s="21">
        <v>0</v>
      </c>
      <c r="T404" s="20">
        <v>0</v>
      </c>
      <c r="U404" s="20">
        <v>0</v>
      </c>
      <c r="V404" s="20">
        <v>0</v>
      </c>
      <c r="W404" s="20">
        <v>0</v>
      </c>
      <c r="X404" s="20">
        <v>0</v>
      </c>
      <c r="Y404" s="20">
        <v>0</v>
      </c>
      <c r="Z404" s="20">
        <v>0</v>
      </c>
      <c r="AA404" s="20">
        <v>0</v>
      </c>
      <c r="AB404" s="20">
        <v>0</v>
      </c>
      <c r="AC404" s="20">
        <v>0</v>
      </c>
      <c r="AD404" s="19">
        <v>8000000</v>
      </c>
      <c r="AE404" s="20">
        <v>0</v>
      </c>
      <c r="AF404" s="20">
        <v>0</v>
      </c>
      <c r="AG404" s="20">
        <v>0</v>
      </c>
    </row>
    <row r="405" spans="1:34" ht="15.75" customHeight="1" x14ac:dyDescent="0.2">
      <c r="A405" s="1"/>
      <c r="B405" s="1"/>
      <c r="C405" s="1"/>
      <c r="D405" s="1"/>
      <c r="E405" s="1"/>
      <c r="F405" s="1"/>
      <c r="G405" s="1"/>
      <c r="I405" s="3"/>
      <c r="J405" s="1"/>
      <c r="K405" s="1" t="s">
        <v>678</v>
      </c>
      <c r="L405" s="1" t="s">
        <v>678</v>
      </c>
      <c r="M405" s="1"/>
      <c r="N405" s="1"/>
      <c r="O405" s="1" t="s">
        <v>678</v>
      </c>
      <c r="P405" s="4"/>
      <c r="Q405" s="5"/>
      <c r="R405" s="5">
        <f>SUBTOTAL(9,R6:R404)</f>
        <v>67836794999.808746</v>
      </c>
      <c r="S405" s="5">
        <f t="shared" ref="S405:Y405" si="10">SUBTOTAL(9,S6:S404)</f>
        <v>0</v>
      </c>
      <c r="T405" s="5">
        <f t="shared" ca="1" si="10"/>
        <v>0</v>
      </c>
      <c r="U405" s="5">
        <f t="shared" ca="1" si="10"/>
        <v>0</v>
      </c>
      <c r="V405" s="5">
        <f t="shared" si="10"/>
        <v>280000000</v>
      </c>
      <c r="W405" s="5">
        <f t="shared" ca="1" si="10"/>
        <v>526000000</v>
      </c>
      <c r="X405" s="5">
        <f t="shared" si="10"/>
        <v>172141000</v>
      </c>
      <c r="Y405" s="5">
        <f t="shared" si="10"/>
        <v>983092000</v>
      </c>
      <c r="Z405" s="5">
        <f t="shared" ref="Z405" si="11">SUBTOTAL(9,Z6:Z404)</f>
        <v>287844000</v>
      </c>
      <c r="AA405" s="5">
        <f t="shared" ref="AA405" si="12">SUBTOTAL(9,AA6:AA404)</f>
        <v>383792000</v>
      </c>
      <c r="AB405" s="5">
        <f t="shared" ref="AB405" si="13">SUBTOTAL(9,AB6:AB404)</f>
        <v>1369011999.9962499</v>
      </c>
      <c r="AC405" s="5">
        <f t="shared" ref="AC405" si="14">SUBTOTAL(9,AC6:AC404)</f>
        <v>0</v>
      </c>
      <c r="AD405" s="5">
        <f t="shared" ref="AD405" si="15">SUBTOTAL(9,AD6:AD404)</f>
        <v>3646025999.875</v>
      </c>
      <c r="AE405" s="5">
        <f t="shared" ref="AE405" si="16">SUBTOTAL(9,AE6:AE404)</f>
        <v>10734459000</v>
      </c>
      <c r="AF405" s="5">
        <f t="shared" ref="AF405:AG405" si="17">SUBTOTAL(9,AF6:AF404)</f>
        <v>0</v>
      </c>
      <c r="AG405" s="5">
        <f t="shared" si="17"/>
        <v>0</v>
      </c>
      <c r="AH405" s="43"/>
    </row>
    <row r="406" spans="1:34" ht="15.75" customHeight="1" x14ac:dyDescent="0.2">
      <c r="A406" s="1"/>
      <c r="B406" s="1"/>
      <c r="C406" s="1"/>
      <c r="D406" s="1"/>
      <c r="E406" s="1"/>
      <c r="F406" s="1"/>
      <c r="G406" s="1"/>
      <c r="I406" s="3"/>
      <c r="J406" s="1"/>
      <c r="K406" s="1"/>
      <c r="L406" s="1"/>
      <c r="M406" s="1"/>
      <c r="N406" s="1"/>
      <c r="O406" s="1"/>
      <c r="P406" s="4"/>
      <c r="Q406" s="5"/>
      <c r="R406" s="5"/>
      <c r="S406" s="46"/>
      <c r="T406" s="47"/>
      <c r="U406" s="47"/>
      <c r="V406" s="47"/>
      <c r="W406" s="47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15.75" customHeight="1" x14ac:dyDescent="0.2">
      <c r="A407" s="1"/>
      <c r="B407" s="1"/>
      <c r="C407" s="1"/>
      <c r="D407" s="1"/>
      <c r="E407" s="1"/>
      <c r="F407" s="1"/>
      <c r="G407" s="1"/>
      <c r="I407" s="3"/>
      <c r="J407" s="1"/>
      <c r="K407" s="1"/>
      <c r="L407" s="1"/>
      <c r="M407" s="1"/>
      <c r="N407" s="1"/>
      <c r="O407" s="1"/>
      <c r="P407" s="4"/>
      <c r="Q407" s="1"/>
      <c r="R407" s="5"/>
      <c r="S407" s="46"/>
      <c r="T407" s="48"/>
      <c r="U407" s="48"/>
      <c r="V407" s="48"/>
      <c r="W407" s="48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4" ht="15.75" customHeight="1" x14ac:dyDescent="0.2">
      <c r="A408" s="1"/>
      <c r="B408" s="1"/>
      <c r="C408" s="1"/>
      <c r="D408" s="1"/>
      <c r="E408" s="1"/>
      <c r="F408" s="1"/>
      <c r="G408" s="1"/>
      <c r="I408" s="3"/>
      <c r="J408" s="1"/>
      <c r="K408" s="1"/>
      <c r="L408" s="1"/>
      <c r="M408" s="1"/>
      <c r="N408" s="1"/>
      <c r="O408" s="1"/>
      <c r="P408" s="4"/>
      <c r="Q408" s="1"/>
      <c r="S408" s="46"/>
      <c r="T408" s="48"/>
      <c r="U408" s="48"/>
      <c r="V408" s="48"/>
      <c r="W408" s="5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4" ht="15.75" customHeight="1" x14ac:dyDescent="0.2">
      <c r="A409" s="1"/>
      <c r="B409" s="1"/>
      <c r="C409" s="1"/>
      <c r="D409" s="1"/>
      <c r="E409" s="1"/>
      <c r="F409" s="1"/>
      <c r="G409" s="1"/>
      <c r="I409" s="3"/>
      <c r="J409" s="1"/>
      <c r="K409" s="1"/>
      <c r="L409" s="1"/>
      <c r="M409" s="1"/>
      <c r="N409" s="1"/>
      <c r="O409" s="1"/>
      <c r="P409" s="1"/>
      <c r="Q409" s="4"/>
      <c r="S409" s="46"/>
      <c r="T409" s="48"/>
      <c r="U409" s="49"/>
      <c r="V409" s="49"/>
      <c r="W409" s="5"/>
      <c r="X409" s="4"/>
      <c r="Y409" s="1"/>
      <c r="Z409" s="5"/>
      <c r="AA409" s="5"/>
      <c r="AB409" s="4"/>
      <c r="AC409" s="1"/>
      <c r="AD409" s="4"/>
      <c r="AE409" s="4"/>
      <c r="AF409" s="1"/>
      <c r="AG409" s="1"/>
    </row>
    <row r="410" spans="1:34" ht="15.75" customHeight="1" x14ac:dyDescent="0.2">
      <c r="A410" s="1"/>
      <c r="B410" s="1"/>
      <c r="C410" s="1"/>
      <c r="D410" s="1"/>
      <c r="E410" s="1"/>
      <c r="F410" s="1"/>
      <c r="G410" s="1"/>
      <c r="I410" s="3"/>
      <c r="J410" s="1"/>
      <c r="K410" s="1"/>
      <c r="L410" s="1"/>
      <c r="M410" s="1"/>
      <c r="N410" s="1"/>
      <c r="O410" s="1"/>
      <c r="P410" s="4"/>
      <c r="Q410" s="1"/>
      <c r="S410" s="46"/>
      <c r="T410" s="48"/>
      <c r="U410" s="48"/>
      <c r="V410" s="48"/>
      <c r="W410" s="5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4" ht="15.75" customHeight="1" x14ac:dyDescent="0.2">
      <c r="A411" s="1"/>
      <c r="B411" s="1"/>
      <c r="C411" s="1"/>
      <c r="D411" s="1"/>
      <c r="E411" s="1"/>
      <c r="F411" s="1"/>
      <c r="G411" s="1"/>
      <c r="I411" s="3"/>
      <c r="J411" s="1"/>
      <c r="K411" s="1"/>
      <c r="L411" s="1"/>
      <c r="M411" s="1"/>
      <c r="N411" s="1"/>
      <c r="O411" s="1"/>
      <c r="P411" s="1"/>
      <c r="Q411" s="4"/>
      <c r="S411" s="49"/>
      <c r="T411" s="49"/>
      <c r="U411" s="49"/>
      <c r="V411" s="49"/>
      <c r="W411" s="5"/>
      <c r="X411" s="1"/>
      <c r="Y411" s="1"/>
      <c r="Z411" s="4"/>
      <c r="AA411" s="4"/>
      <c r="AB411" s="1"/>
      <c r="AC411" s="1"/>
      <c r="AE411" s="1"/>
      <c r="AF411" s="1"/>
      <c r="AG411" s="1"/>
    </row>
    <row r="412" spans="1:34" ht="15.75" customHeight="1" x14ac:dyDescent="0.2">
      <c r="A412" s="1"/>
      <c r="B412" s="1"/>
      <c r="C412" s="1"/>
      <c r="D412" s="1"/>
      <c r="E412" s="1"/>
      <c r="F412" s="1"/>
      <c r="G412" s="1"/>
      <c r="I412" s="3"/>
      <c r="J412" s="1"/>
      <c r="K412" s="1"/>
      <c r="L412" s="1"/>
      <c r="M412" s="1"/>
      <c r="N412" s="1"/>
      <c r="O412" s="1"/>
      <c r="P412" s="1"/>
      <c r="Q412" s="4"/>
      <c r="R412" s="5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4"/>
      <c r="AE412" s="1"/>
      <c r="AF412" s="1"/>
      <c r="AG412" s="1"/>
    </row>
  </sheetData>
  <autoFilter ref="A5:AH407"/>
  <mergeCells count="3">
    <mergeCell ref="A3:P4"/>
    <mergeCell ref="Q3:AG4"/>
    <mergeCell ref="A1:AG2"/>
  </mergeCells>
  <dataValidations disablePrompts="1" count="1">
    <dataValidation type="list" allowBlank="1" showErrorMessage="1" sqref="P134 P5:P108 P110:P124 P126 P128:P132 P136:P140 P143:P412">
      <formula1>#REF!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Julie Quiroz Pineda</cp:lastModifiedBy>
  <dcterms:created xsi:type="dcterms:W3CDTF">2020-12-19T21:25:52Z</dcterms:created>
  <dcterms:modified xsi:type="dcterms:W3CDTF">2024-01-31T20:29:09Z</dcterms:modified>
</cp:coreProperties>
</file>